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Data_Analysis/Project2_FinanceValuation_Excel-Modeling/"/>
    </mc:Choice>
  </mc:AlternateContent>
  <xr:revisionPtr revIDLastSave="1822" documentId="13_ncr:1_{8195ACD8-643B-416A-90CC-02E4E29FF262}" xr6:coauthVersionLast="47" xr6:coauthVersionMax="47" xr10:uidLastSave="{C02A1929-EDB5-483C-9E78-AEF5EEE5160B}"/>
  <bookViews>
    <workbookView xWindow="-110" yWindow="-110" windowWidth="19420" windowHeight="10300" tabRatio="931" xr2:uid="{93119455-B243-48E3-A4BA-4F2CBA917EB2}"/>
  </bookViews>
  <sheets>
    <sheet name="Presentation" sheetId="21" r:id="rId1"/>
    <sheet name="calc&gt;&gt;" sheetId="3" r:id="rId2"/>
    <sheet name="TokyoGas(TKGSY)" sheetId="19" r:id="rId3"/>
    <sheet name="Amazon(AMZN)" sheetId="4" r:id="rId4"/>
    <sheet name="MTU(MTX)" sheetId="18" r:id="rId5"/>
    <sheet name="inputs&gt;&gt;" sheetId="7" r:id="rId6"/>
    <sheet name="PL(TKGSY)" sheetId="11" r:id="rId7"/>
    <sheet name="BS(TKGSY)" sheetId="14" r:id="rId8"/>
    <sheet name="CF(TKGSY)" sheetId="15" r:id="rId9"/>
    <sheet name="PL(AMZN)" sheetId="8" r:id="rId10"/>
    <sheet name="BS(AMZN)" sheetId="12" r:id="rId11"/>
    <sheet name="CF(AMZN)" sheetId="13" r:id="rId12"/>
    <sheet name="PL(MTX)" sheetId="9" r:id="rId13"/>
    <sheet name="BS(MTX)" sheetId="16" r:id="rId14"/>
    <sheet name="CF(MTX)" sheetId="17" r:id="rId15"/>
  </sheets>
  <definedNames>
    <definedName name="_xlnm.Print_Area" localSheetId="0">Presentation!$A$1:$Q$30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4" i="18" l="1"/>
  <c r="I104" i="18"/>
  <c r="H104" i="18"/>
  <c r="G104" i="18"/>
  <c r="F104" i="18"/>
  <c r="L105" i="18" s="1"/>
  <c r="M105" i="18" s="1"/>
  <c r="N105" i="18" s="1"/>
  <c r="O105" i="18" s="1"/>
  <c r="P105" i="18" s="1"/>
  <c r="E104" i="18"/>
  <c r="D104" i="18"/>
  <c r="J104" i="4"/>
  <c r="I104" i="4"/>
  <c r="H104" i="4"/>
  <c r="G104" i="4"/>
  <c r="F104" i="4"/>
  <c r="E104" i="4"/>
  <c r="D104" i="4"/>
  <c r="L105" i="4" s="1"/>
  <c r="M105" i="4" s="1"/>
  <c r="N105" i="4" s="1"/>
  <c r="O105" i="4" s="1"/>
  <c r="P105" i="4" s="1"/>
  <c r="P105" i="19"/>
  <c r="O105" i="19"/>
  <c r="N105" i="19"/>
  <c r="M105" i="19"/>
  <c r="L105" i="19"/>
  <c r="D104" i="19"/>
  <c r="J104" i="19"/>
  <c r="I104" i="19"/>
  <c r="H104" i="19"/>
  <c r="G104" i="19"/>
  <c r="F104" i="19"/>
  <c r="E104" i="19"/>
  <c r="P103" i="18"/>
  <c r="O103" i="18"/>
  <c r="N103" i="18"/>
  <c r="M103" i="18"/>
  <c r="L103" i="18"/>
  <c r="K103" i="18"/>
  <c r="J103" i="18"/>
  <c r="I103" i="18"/>
  <c r="H103" i="18"/>
  <c r="G103" i="18"/>
  <c r="F103" i="18"/>
  <c r="E103" i="18"/>
  <c r="D103" i="18"/>
  <c r="P103" i="19"/>
  <c r="O103" i="19"/>
  <c r="N103" i="19"/>
  <c r="M103" i="19"/>
  <c r="L103" i="19"/>
  <c r="K103" i="19"/>
  <c r="J103" i="19"/>
  <c r="I103" i="19"/>
  <c r="H103" i="19"/>
  <c r="G103" i="19"/>
  <c r="F103" i="19"/>
  <c r="E103" i="19"/>
  <c r="D103" i="19"/>
  <c r="P103" i="4"/>
  <c r="O103" i="4"/>
  <c r="N103" i="4"/>
  <c r="M103" i="4"/>
  <c r="L103" i="4"/>
  <c r="K103" i="4"/>
  <c r="J103" i="4"/>
  <c r="I103" i="4"/>
  <c r="H103" i="4"/>
  <c r="G103" i="4"/>
  <c r="F103" i="4"/>
  <c r="E103" i="4"/>
  <c r="D103" i="4"/>
  <c r="D3" i="21"/>
  <c r="B27" i="4" s="1"/>
  <c r="D1" i="21"/>
  <c r="F7" i="21"/>
  <c r="G7" i="21" s="1"/>
  <c r="H15" i="19"/>
  <c r="H16" i="19" s="1"/>
  <c r="H68" i="19"/>
  <c r="I68" i="19"/>
  <c r="I46" i="19" s="1"/>
  <c r="J68" i="19"/>
  <c r="J46" i="19" s="1"/>
  <c r="K68" i="19"/>
  <c r="G68" i="19"/>
  <c r="T56" i="19"/>
  <c r="U56" i="19"/>
  <c r="V56" i="19"/>
  <c r="W56" i="19"/>
  <c r="X56" i="19"/>
  <c r="Y56" i="19"/>
  <c r="Z56" i="19"/>
  <c r="AA56" i="19"/>
  <c r="S56" i="19"/>
  <c r="S54" i="19"/>
  <c r="T54" i="19" s="1"/>
  <c r="U54" i="19" s="1"/>
  <c r="V54" i="19" s="1"/>
  <c r="W54" i="19" s="1"/>
  <c r="X54" i="19" s="1"/>
  <c r="Y54" i="19" s="1"/>
  <c r="Z54" i="19" s="1"/>
  <c r="AA54" i="19" s="1"/>
  <c r="F7" i="19"/>
  <c r="G7" i="19" s="1"/>
  <c r="J92" i="19"/>
  <c r="I92" i="19"/>
  <c r="H92" i="19"/>
  <c r="G92" i="19"/>
  <c r="P89" i="19"/>
  <c r="O89" i="19"/>
  <c r="N89" i="19"/>
  <c r="M89" i="19"/>
  <c r="L89" i="19"/>
  <c r="K89" i="19"/>
  <c r="J89" i="19"/>
  <c r="I89" i="19"/>
  <c r="H89" i="19"/>
  <c r="G89" i="19"/>
  <c r="F89" i="19"/>
  <c r="E89" i="19"/>
  <c r="D89" i="19"/>
  <c r="P79" i="19"/>
  <c r="O79" i="19"/>
  <c r="N79" i="19"/>
  <c r="M79" i="19"/>
  <c r="L79" i="19"/>
  <c r="K79" i="19"/>
  <c r="J79" i="19"/>
  <c r="I79" i="19"/>
  <c r="H79" i="19"/>
  <c r="G79" i="19"/>
  <c r="F79" i="19"/>
  <c r="E79" i="19"/>
  <c r="D79" i="19"/>
  <c r="J72" i="19"/>
  <c r="I72" i="19"/>
  <c r="H72" i="19"/>
  <c r="G72" i="19"/>
  <c r="P71" i="19"/>
  <c r="O71" i="19"/>
  <c r="N71" i="19"/>
  <c r="M71" i="19"/>
  <c r="L71" i="19"/>
  <c r="K71" i="19"/>
  <c r="J71" i="19"/>
  <c r="I71" i="19"/>
  <c r="H71" i="19"/>
  <c r="G71" i="19"/>
  <c r="F71" i="19"/>
  <c r="E71" i="19"/>
  <c r="D71" i="19"/>
  <c r="P66" i="19"/>
  <c r="O66" i="19"/>
  <c r="N66" i="19"/>
  <c r="M66" i="19"/>
  <c r="L66" i="19"/>
  <c r="K66" i="19"/>
  <c r="J66" i="19"/>
  <c r="I66" i="19"/>
  <c r="H66" i="19"/>
  <c r="G66" i="19"/>
  <c r="F66" i="19"/>
  <c r="E66" i="19"/>
  <c r="D66" i="19"/>
  <c r="J55" i="19"/>
  <c r="I55" i="19"/>
  <c r="H55" i="19"/>
  <c r="G55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B54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H22" i="19"/>
  <c r="H25" i="19" s="1"/>
  <c r="N16" i="19"/>
  <c r="O16" i="19" s="1"/>
  <c r="P16" i="19" s="1"/>
  <c r="M10" i="19"/>
  <c r="N10" i="19" s="1"/>
  <c r="O10" i="19" s="1"/>
  <c r="P10" i="19" s="1"/>
  <c r="C24" i="18"/>
  <c r="H15" i="18"/>
  <c r="H16" i="18" s="1"/>
  <c r="H14" i="18"/>
  <c r="I92" i="18"/>
  <c r="H92" i="18"/>
  <c r="G92" i="18"/>
  <c r="F92" i="18"/>
  <c r="E92" i="18"/>
  <c r="E72" i="18"/>
  <c r="F72" i="18"/>
  <c r="G72" i="18"/>
  <c r="H72" i="18"/>
  <c r="I72" i="18"/>
  <c r="E55" i="18"/>
  <c r="F55" i="18"/>
  <c r="G55" i="18"/>
  <c r="H55" i="18"/>
  <c r="I55" i="18"/>
  <c r="K71" i="18"/>
  <c r="K89" i="18"/>
  <c r="K54" i="18"/>
  <c r="K31" i="18"/>
  <c r="P89" i="18"/>
  <c r="O89" i="18"/>
  <c r="N89" i="18"/>
  <c r="M89" i="18"/>
  <c r="L89" i="18"/>
  <c r="J89" i="18"/>
  <c r="I89" i="18"/>
  <c r="H89" i="18"/>
  <c r="G89" i="18"/>
  <c r="F89" i="18"/>
  <c r="E89" i="18"/>
  <c r="D89" i="18"/>
  <c r="P79" i="18"/>
  <c r="O79" i="18"/>
  <c r="N79" i="18"/>
  <c r="M79" i="18"/>
  <c r="L79" i="18"/>
  <c r="K79" i="18"/>
  <c r="J79" i="18"/>
  <c r="J81" i="18" s="1"/>
  <c r="I79" i="18"/>
  <c r="I80" i="18" s="1"/>
  <c r="H79" i="18"/>
  <c r="H80" i="18" s="1"/>
  <c r="G79" i="18"/>
  <c r="G80" i="18" s="1"/>
  <c r="F79" i="18"/>
  <c r="F80" i="18" s="1"/>
  <c r="E79" i="18"/>
  <c r="E86" i="18" s="1"/>
  <c r="D79" i="18"/>
  <c r="D85" i="18" s="1"/>
  <c r="P71" i="18"/>
  <c r="O71" i="18"/>
  <c r="N71" i="18"/>
  <c r="M71" i="18"/>
  <c r="L71" i="18"/>
  <c r="J71" i="18"/>
  <c r="I71" i="18"/>
  <c r="H71" i="18"/>
  <c r="G71" i="18"/>
  <c r="F71" i="18"/>
  <c r="E71" i="18"/>
  <c r="D71" i="18"/>
  <c r="P66" i="18"/>
  <c r="O66" i="18"/>
  <c r="N66" i="18"/>
  <c r="M66" i="18"/>
  <c r="L66" i="18"/>
  <c r="K66" i="18"/>
  <c r="J66" i="18"/>
  <c r="I66" i="18"/>
  <c r="H66" i="18"/>
  <c r="G66" i="18"/>
  <c r="F66" i="18"/>
  <c r="E66" i="18"/>
  <c r="D66" i="18"/>
  <c r="P54" i="18"/>
  <c r="O54" i="18"/>
  <c r="N54" i="18"/>
  <c r="M54" i="18"/>
  <c r="L54" i="18"/>
  <c r="J54" i="18"/>
  <c r="I54" i="18"/>
  <c r="H54" i="18"/>
  <c r="G54" i="18"/>
  <c r="F54" i="18"/>
  <c r="E54" i="18"/>
  <c r="D54" i="18"/>
  <c r="B54" i="18"/>
  <c r="P31" i="18"/>
  <c r="O31" i="18"/>
  <c r="N31" i="18"/>
  <c r="M31" i="18"/>
  <c r="L31" i="18"/>
  <c r="J31" i="18"/>
  <c r="J40" i="18" s="1"/>
  <c r="I31" i="18"/>
  <c r="I40" i="18" s="1"/>
  <c r="H31" i="18"/>
  <c r="H68" i="18" s="1"/>
  <c r="G31" i="18"/>
  <c r="G68" i="18" s="1"/>
  <c r="F31" i="18"/>
  <c r="F43" i="18" s="1"/>
  <c r="E31" i="18"/>
  <c r="E43" i="18" s="1"/>
  <c r="D31" i="18"/>
  <c r="H22" i="18"/>
  <c r="H25" i="18" s="1"/>
  <c r="N16" i="18"/>
  <c r="M16" i="18" s="1"/>
  <c r="L16" i="18" s="1"/>
  <c r="M10" i="18"/>
  <c r="N10" i="18" s="1"/>
  <c r="O10" i="18" s="1"/>
  <c r="P10" i="18" s="1"/>
  <c r="N16" i="4"/>
  <c r="M16" i="4" s="1"/>
  <c r="L16" i="4" s="1"/>
  <c r="C24" i="4"/>
  <c r="H15" i="4"/>
  <c r="C21" i="4" s="1"/>
  <c r="H14" i="4"/>
  <c r="E2" i="21" a="1"/>
  <c r="D2" i="21" a="1"/>
  <c r="C22" i="21" a="1"/>
  <c r="C16" i="21" a="1"/>
  <c r="C24" i="21" a="1"/>
  <c r="C15" i="21" a="1"/>
  <c r="H26" i="21" a="1"/>
  <c r="H22" i="21" a="1"/>
  <c r="H25" i="21" a="1"/>
  <c r="H24" i="21" a="1"/>
  <c r="H23" i="21" a="1"/>
  <c r="H19" i="21" a="1"/>
  <c r="H21" i="21" a="1"/>
  <c r="H20" i="21" a="1"/>
  <c r="H18" i="21" a="1"/>
  <c r="H17" i="21" a="1"/>
  <c r="H16" i="21" a="1"/>
  <c r="K21" i="21" a="1"/>
  <c r="K17" i="21" a="1"/>
  <c r="K20" i="21" a="1"/>
  <c r="K19" i="21" a="1"/>
  <c r="K18" i="21" a="1"/>
  <c r="N16" i="21" a="1"/>
  <c r="M16" i="21" a="1"/>
  <c r="O16" i="21" a="1"/>
  <c r="P16" i="21" a="1"/>
  <c r="L16" i="21" a="1"/>
  <c r="M10" i="21" a="1"/>
  <c r="P10" i="21" a="1"/>
  <c r="L10" i="21" a="1"/>
  <c r="N10" i="21" a="1"/>
  <c r="O10" i="21" a="1"/>
  <c r="B27" i="18" l="1"/>
  <c r="B27" i="19"/>
  <c r="E2" i="21"/>
  <c r="D2" i="21"/>
  <c r="C15" i="21"/>
  <c r="C24" i="21"/>
  <c r="C16" i="21"/>
  <c r="C22" i="21"/>
  <c r="H23" i="21"/>
  <c r="H24" i="21"/>
  <c r="H25" i="21"/>
  <c r="H22" i="21"/>
  <c r="H26" i="21"/>
  <c r="H20" i="21"/>
  <c r="H21" i="21"/>
  <c r="H19" i="21"/>
  <c r="H16" i="21"/>
  <c r="H17" i="21"/>
  <c r="H18" i="21"/>
  <c r="K18" i="21"/>
  <c r="K19" i="21"/>
  <c r="K20" i="21"/>
  <c r="K17" i="21"/>
  <c r="K21" i="21"/>
  <c r="L16" i="21"/>
  <c r="P16" i="21"/>
  <c r="O16" i="21"/>
  <c r="M16" i="21"/>
  <c r="N16" i="21"/>
  <c r="O10" i="21"/>
  <c r="N10" i="21"/>
  <c r="L10" i="21"/>
  <c r="P10" i="21"/>
  <c r="M10" i="21"/>
  <c r="H7" i="21"/>
  <c r="E33" i="18"/>
  <c r="E41" i="18"/>
  <c r="O16" i="4"/>
  <c r="P16" i="4" s="1"/>
  <c r="H86" i="18"/>
  <c r="G36" i="18"/>
  <c r="C56" i="19"/>
  <c r="L56" i="19" s="1"/>
  <c r="J39" i="18"/>
  <c r="E40" i="18"/>
  <c r="G43" i="18"/>
  <c r="D84" i="18"/>
  <c r="J32" i="18"/>
  <c r="J90" i="18" s="1"/>
  <c r="E85" i="18"/>
  <c r="H7" i="19"/>
  <c r="G86" i="19"/>
  <c r="G50" i="19" s="1"/>
  <c r="G41" i="19"/>
  <c r="G36" i="19"/>
  <c r="G84" i="19"/>
  <c r="G33" i="19"/>
  <c r="G42" i="19"/>
  <c r="G40" i="19" s="1"/>
  <c r="G32" i="19"/>
  <c r="G80" i="19"/>
  <c r="G85" i="19"/>
  <c r="G37" i="19"/>
  <c r="G43" i="19"/>
  <c r="G81" i="19"/>
  <c r="E36" i="18"/>
  <c r="F41" i="18"/>
  <c r="E84" i="18"/>
  <c r="F36" i="18"/>
  <c r="G41" i="18"/>
  <c r="F84" i="18"/>
  <c r="M16" i="19"/>
  <c r="L16" i="19" s="1"/>
  <c r="G37" i="18"/>
  <c r="I68" i="18"/>
  <c r="I46" i="18" s="1"/>
  <c r="F85" i="18"/>
  <c r="I39" i="18"/>
  <c r="J68" i="18"/>
  <c r="G85" i="18"/>
  <c r="H24" i="4"/>
  <c r="I32" i="18"/>
  <c r="D81" i="18"/>
  <c r="F86" i="18"/>
  <c r="F50" i="18" s="1"/>
  <c r="E81" i="18"/>
  <c r="G86" i="18"/>
  <c r="G50" i="18" s="1"/>
  <c r="C21" i="19"/>
  <c r="K46" i="19"/>
  <c r="H24" i="18"/>
  <c r="I43" i="18"/>
  <c r="F33" i="18"/>
  <c r="H36" i="18"/>
  <c r="J37" i="18"/>
  <c r="F40" i="18"/>
  <c r="H41" i="18"/>
  <c r="J43" i="18"/>
  <c r="E80" i="18"/>
  <c r="E93" i="18" s="1"/>
  <c r="F81" i="18"/>
  <c r="G84" i="18"/>
  <c r="H85" i="18"/>
  <c r="H96" i="18" s="1"/>
  <c r="I86" i="18"/>
  <c r="E32" i="18"/>
  <c r="E90" i="18" s="1"/>
  <c r="G33" i="18"/>
  <c r="G91" i="18" s="1"/>
  <c r="G94" i="18" s="1"/>
  <c r="I36" i="18"/>
  <c r="E39" i="18"/>
  <c r="G40" i="18"/>
  <c r="I41" i="18"/>
  <c r="I42" i="18" s="1"/>
  <c r="E68" i="18"/>
  <c r="E74" i="18" s="1"/>
  <c r="G81" i="18"/>
  <c r="H84" i="18"/>
  <c r="I85" i="18"/>
  <c r="J86" i="18"/>
  <c r="I37" i="18"/>
  <c r="F32" i="18"/>
  <c r="F90" i="18" s="1"/>
  <c r="F93" i="18" s="1"/>
  <c r="H33" i="18"/>
  <c r="H91" i="18" s="1"/>
  <c r="J36" i="18"/>
  <c r="J58" i="18" s="1"/>
  <c r="F39" i="18"/>
  <c r="H40" i="18"/>
  <c r="J41" i="18"/>
  <c r="J42" i="18" s="1"/>
  <c r="J44" i="18" s="1"/>
  <c r="F68" i="18"/>
  <c r="H81" i="18"/>
  <c r="I84" i="18"/>
  <c r="J85" i="18"/>
  <c r="J80" i="18"/>
  <c r="H43" i="18"/>
  <c r="G32" i="18"/>
  <c r="I33" i="18"/>
  <c r="E37" i="18"/>
  <c r="E59" i="18" s="1"/>
  <c r="G39" i="18"/>
  <c r="I81" i="18"/>
  <c r="J84" i="18"/>
  <c r="D86" i="18"/>
  <c r="D50" i="18" s="1"/>
  <c r="D48" i="18" s="1"/>
  <c r="O16" i="18"/>
  <c r="P16" i="18" s="1"/>
  <c r="H37" i="18"/>
  <c r="D80" i="18"/>
  <c r="H32" i="18"/>
  <c r="J33" i="18"/>
  <c r="J34" i="18" s="1"/>
  <c r="F37" i="18"/>
  <c r="F59" i="18" s="1"/>
  <c r="H39" i="18"/>
  <c r="D83" i="18"/>
  <c r="D49" i="18" s="1"/>
  <c r="C21" i="18"/>
  <c r="H18" i="18"/>
  <c r="E34" i="18"/>
  <c r="E91" i="18"/>
  <c r="E57" i="18"/>
  <c r="H50" i="18"/>
  <c r="E83" i="18"/>
  <c r="H16" i="4"/>
  <c r="H18" i="4"/>
  <c r="H14" i="21" a="1"/>
  <c r="G9" i="21" a="1"/>
  <c r="C20" i="21" a="1"/>
  <c r="H14" i="21" l="1"/>
  <c r="G9" i="21"/>
  <c r="C20" i="21"/>
  <c r="I7" i="21"/>
  <c r="F42" i="18"/>
  <c r="F44" i="18" s="1"/>
  <c r="J83" i="18"/>
  <c r="H94" i="18"/>
  <c r="H82" i="18"/>
  <c r="E46" i="18"/>
  <c r="H58" i="18"/>
  <c r="H83" i="18"/>
  <c r="J93" i="18"/>
  <c r="G44" i="19"/>
  <c r="D82" i="18"/>
  <c r="G96" i="18"/>
  <c r="E94" i="18"/>
  <c r="J59" i="18"/>
  <c r="F58" i="18"/>
  <c r="G58" i="19"/>
  <c r="G83" i="18"/>
  <c r="G49" i="18" s="1"/>
  <c r="G48" i="18" s="1"/>
  <c r="I7" i="19"/>
  <c r="H36" i="19"/>
  <c r="H84" i="19"/>
  <c r="H33" i="19"/>
  <c r="H91" i="19" s="1"/>
  <c r="H41" i="19"/>
  <c r="H45" i="19" s="1"/>
  <c r="H42" i="19"/>
  <c r="H80" i="19"/>
  <c r="H85" i="19"/>
  <c r="H37" i="19"/>
  <c r="H86" i="19"/>
  <c r="H50" i="19" s="1"/>
  <c r="H81" i="19"/>
  <c r="H43" i="19"/>
  <c r="H32" i="19"/>
  <c r="H56" i="19" s="1"/>
  <c r="G96" i="19"/>
  <c r="G83" i="19"/>
  <c r="G82" i="19"/>
  <c r="G74" i="19"/>
  <c r="G46" i="19"/>
  <c r="G90" i="19"/>
  <c r="G34" i="19"/>
  <c r="H67" i="19"/>
  <c r="H73" i="19" s="1"/>
  <c r="G67" i="19"/>
  <c r="G73" i="19" s="1"/>
  <c r="G45" i="19"/>
  <c r="G57" i="19"/>
  <c r="G91" i="19"/>
  <c r="G94" i="19" s="1"/>
  <c r="H46" i="19"/>
  <c r="G59" i="19"/>
  <c r="G61" i="19"/>
  <c r="G57" i="18"/>
  <c r="I61" i="18"/>
  <c r="F56" i="18"/>
  <c r="H42" i="18"/>
  <c r="H44" i="18" s="1"/>
  <c r="F98" i="18"/>
  <c r="E58" i="18"/>
  <c r="F34" i="18"/>
  <c r="F38" i="18" s="1"/>
  <c r="F60" i="18" s="1"/>
  <c r="J38" i="18"/>
  <c r="J60" i="18" s="1"/>
  <c r="E97" i="18"/>
  <c r="E95" i="18"/>
  <c r="E49" i="18"/>
  <c r="J50" i="18"/>
  <c r="J98" i="18"/>
  <c r="I90" i="18"/>
  <c r="I93" i="18" s="1"/>
  <c r="I56" i="18"/>
  <c r="I34" i="18"/>
  <c r="I38" i="18" s="1"/>
  <c r="I60" i="18" s="1"/>
  <c r="H45" i="18"/>
  <c r="H67" i="18"/>
  <c r="H73" i="18" s="1"/>
  <c r="G45" i="18"/>
  <c r="G67" i="18"/>
  <c r="G73" i="18" s="1"/>
  <c r="E82" i="18"/>
  <c r="I45" i="18"/>
  <c r="I67" i="18"/>
  <c r="I73" i="18" s="1"/>
  <c r="E98" i="18"/>
  <c r="E50" i="18"/>
  <c r="J96" i="18"/>
  <c r="F61" i="18"/>
  <c r="E96" i="18"/>
  <c r="E42" i="18"/>
  <c r="E44" i="18" s="1"/>
  <c r="H34" i="18"/>
  <c r="H90" i="18"/>
  <c r="H56" i="18"/>
  <c r="H49" i="18"/>
  <c r="H48" i="18" s="1"/>
  <c r="H97" i="18"/>
  <c r="H46" i="18"/>
  <c r="H74" i="18"/>
  <c r="G74" i="18"/>
  <c r="G46" i="18"/>
  <c r="F67" i="18"/>
  <c r="F73" i="18" s="1"/>
  <c r="F45" i="18"/>
  <c r="G58" i="18"/>
  <c r="I96" i="18"/>
  <c r="I82" i="18"/>
  <c r="I83" i="18"/>
  <c r="I74" i="18"/>
  <c r="I44" i="18"/>
  <c r="F46" i="18"/>
  <c r="F74" i="18"/>
  <c r="F57" i="18"/>
  <c r="F91" i="18"/>
  <c r="F94" i="18" s="1"/>
  <c r="J91" i="18"/>
  <c r="J94" i="18" s="1"/>
  <c r="J57" i="18"/>
  <c r="I91" i="18"/>
  <c r="I94" i="18" s="1"/>
  <c r="I57" i="18"/>
  <c r="J45" i="18"/>
  <c r="J67" i="18"/>
  <c r="J73" i="18" s="1"/>
  <c r="I58" i="18"/>
  <c r="G82" i="18"/>
  <c r="G56" i="18"/>
  <c r="G34" i="18"/>
  <c r="G90" i="18"/>
  <c r="J97" i="18"/>
  <c r="J95" i="18"/>
  <c r="J49" i="18"/>
  <c r="J61" i="18"/>
  <c r="H57" i="18"/>
  <c r="E67" i="18"/>
  <c r="E73" i="18" s="1"/>
  <c r="E45" i="18"/>
  <c r="I50" i="18"/>
  <c r="F83" i="18"/>
  <c r="F96" i="18"/>
  <c r="F82" i="18"/>
  <c r="H59" i="18"/>
  <c r="G59" i="18"/>
  <c r="J82" i="18"/>
  <c r="J46" i="18"/>
  <c r="J74" i="18"/>
  <c r="I59" i="18"/>
  <c r="J56" i="18"/>
  <c r="G42" i="18"/>
  <c r="G44" i="18" s="1"/>
  <c r="J92" i="4"/>
  <c r="I92" i="4"/>
  <c r="H92" i="4"/>
  <c r="G92" i="4"/>
  <c r="F92" i="4"/>
  <c r="E92" i="4"/>
  <c r="D89" i="4"/>
  <c r="D79" i="4"/>
  <c r="D85" i="4" s="1"/>
  <c r="D71" i="4"/>
  <c r="D66" i="4"/>
  <c r="D54" i="4"/>
  <c r="D31" i="4"/>
  <c r="J55" i="4"/>
  <c r="I55" i="4"/>
  <c r="H55" i="4"/>
  <c r="G55" i="4"/>
  <c r="F55" i="4"/>
  <c r="E55" i="4"/>
  <c r="I72" i="4"/>
  <c r="P71" i="4"/>
  <c r="O71" i="4"/>
  <c r="N71" i="4"/>
  <c r="M71" i="4"/>
  <c r="L71" i="4"/>
  <c r="K71" i="4"/>
  <c r="J71" i="4"/>
  <c r="I71" i="4"/>
  <c r="H71" i="4"/>
  <c r="G71" i="4"/>
  <c r="F71" i="4"/>
  <c r="E71" i="4"/>
  <c r="D33" i="11"/>
  <c r="E33" i="11"/>
  <c r="F33" i="11"/>
  <c r="G33" i="11"/>
  <c r="C33" i="11"/>
  <c r="D29" i="11"/>
  <c r="E29" i="11"/>
  <c r="F29" i="11"/>
  <c r="G29" i="11"/>
  <c r="C29" i="11"/>
  <c r="P89" i="4"/>
  <c r="O89" i="4"/>
  <c r="N89" i="4"/>
  <c r="M89" i="4"/>
  <c r="L89" i="4"/>
  <c r="P79" i="4"/>
  <c r="O79" i="4"/>
  <c r="N79" i="4"/>
  <c r="M79" i="4"/>
  <c r="L79" i="4"/>
  <c r="P66" i="4"/>
  <c r="O66" i="4"/>
  <c r="N66" i="4"/>
  <c r="M66" i="4"/>
  <c r="L66" i="4"/>
  <c r="P54" i="4"/>
  <c r="O54" i="4"/>
  <c r="N54" i="4"/>
  <c r="M54" i="4"/>
  <c r="L54" i="4"/>
  <c r="M10" i="4"/>
  <c r="N10" i="4" s="1"/>
  <c r="O10" i="4" s="1"/>
  <c r="P10" i="4" s="1"/>
  <c r="K89" i="4"/>
  <c r="J89" i="4"/>
  <c r="I89" i="4"/>
  <c r="H89" i="4"/>
  <c r="G89" i="4"/>
  <c r="F89" i="4"/>
  <c r="E89" i="4"/>
  <c r="K79" i="4"/>
  <c r="K85" i="4" s="1"/>
  <c r="J79" i="4"/>
  <c r="J81" i="4" s="1"/>
  <c r="I79" i="4"/>
  <c r="I80" i="4" s="1"/>
  <c r="H79" i="4"/>
  <c r="H80" i="4" s="1"/>
  <c r="G79" i="4"/>
  <c r="G80" i="4" s="1"/>
  <c r="F79" i="4"/>
  <c r="F80" i="4" s="1"/>
  <c r="E79" i="4"/>
  <c r="E80" i="4" s="1"/>
  <c r="K66" i="4"/>
  <c r="J66" i="4"/>
  <c r="I66" i="4"/>
  <c r="H66" i="4"/>
  <c r="G66" i="4"/>
  <c r="F66" i="4"/>
  <c r="E66" i="4"/>
  <c r="K54" i="4"/>
  <c r="J54" i="4"/>
  <c r="I54" i="4"/>
  <c r="H54" i="4"/>
  <c r="G54" i="4"/>
  <c r="F54" i="4"/>
  <c r="E54" i="4"/>
  <c r="P31" i="4"/>
  <c r="O31" i="4"/>
  <c r="N31" i="4"/>
  <c r="M31" i="4"/>
  <c r="L31" i="4"/>
  <c r="K31" i="4"/>
  <c r="J31" i="4"/>
  <c r="I31" i="4"/>
  <c r="H31" i="4"/>
  <c r="G31" i="4"/>
  <c r="F31" i="4"/>
  <c r="E31" i="4"/>
  <c r="H22" i="4"/>
  <c r="H25" i="4" s="1"/>
  <c r="B54" i="4"/>
  <c r="C27" i="21" a="1"/>
  <c r="F9" i="21" a="1"/>
  <c r="E9" i="21" a="1"/>
  <c r="H15" i="21" a="1"/>
  <c r="H9" i="21" a="1"/>
  <c r="K9" i="21" a="1"/>
  <c r="L9" i="21" a="1"/>
  <c r="P9" i="21" a="1"/>
  <c r="I9" i="21" a="1"/>
  <c r="M9" i="21" a="1"/>
  <c r="J9" i="21" a="1"/>
  <c r="N9" i="21" a="1"/>
  <c r="O9" i="21" a="1"/>
  <c r="C27" i="21" l="1"/>
  <c r="E9" i="21"/>
  <c r="F9" i="21"/>
  <c r="H15" i="21"/>
  <c r="C21" i="21" s="1"/>
  <c r="O9" i="21"/>
  <c r="O11" i="21" s="1"/>
  <c r="N9" i="21"/>
  <c r="J9" i="21"/>
  <c r="M9" i="21"/>
  <c r="M11" i="21" s="1"/>
  <c r="I9" i="21"/>
  <c r="P9" i="21"/>
  <c r="L9" i="21"/>
  <c r="L11" i="21" s="1"/>
  <c r="K9" i="21"/>
  <c r="H9" i="21"/>
  <c r="N11" i="21"/>
  <c r="J7" i="21"/>
  <c r="H57" i="19"/>
  <c r="H74" i="19"/>
  <c r="C58" i="18"/>
  <c r="H90" i="19"/>
  <c r="H93" i="19" s="1"/>
  <c r="H34" i="19"/>
  <c r="H96" i="19"/>
  <c r="J48" i="18"/>
  <c r="G97" i="18"/>
  <c r="I98" i="18"/>
  <c r="H40" i="19"/>
  <c r="H44" i="19"/>
  <c r="H38" i="18"/>
  <c r="H60" i="18" s="1"/>
  <c r="K82" i="18"/>
  <c r="L82" i="18" s="1"/>
  <c r="M82" i="18" s="1"/>
  <c r="N82" i="18" s="1"/>
  <c r="O82" i="18" s="1"/>
  <c r="P82" i="18" s="1"/>
  <c r="H94" i="19"/>
  <c r="G39" i="19"/>
  <c r="G38" i="19" s="1"/>
  <c r="G60" i="19" s="1"/>
  <c r="H58" i="19"/>
  <c r="H39" i="19"/>
  <c r="H38" i="19" s="1"/>
  <c r="H60" i="19" s="1"/>
  <c r="H61" i="19"/>
  <c r="H61" i="18"/>
  <c r="H59" i="19"/>
  <c r="J7" i="19"/>
  <c r="I84" i="19"/>
  <c r="I33" i="19"/>
  <c r="I42" i="19"/>
  <c r="I80" i="19"/>
  <c r="I85" i="19"/>
  <c r="I37" i="19"/>
  <c r="I81" i="19"/>
  <c r="I43" i="19"/>
  <c r="I32" i="19"/>
  <c r="I86" i="19"/>
  <c r="I41" i="19"/>
  <c r="I36" i="19"/>
  <c r="H82" i="19"/>
  <c r="H83" i="19"/>
  <c r="H95" i="19" s="1"/>
  <c r="G93" i="19"/>
  <c r="G98" i="19"/>
  <c r="H98" i="19"/>
  <c r="G95" i="19"/>
  <c r="G97" i="19"/>
  <c r="G49" i="19"/>
  <c r="C59" i="18"/>
  <c r="C56" i="18"/>
  <c r="K94" i="18"/>
  <c r="G38" i="18"/>
  <c r="G60" i="18" s="1"/>
  <c r="K74" i="18"/>
  <c r="L74" i="18" s="1"/>
  <c r="M74" i="18" s="1"/>
  <c r="N74" i="18" s="1"/>
  <c r="O74" i="18" s="1"/>
  <c r="P74" i="18" s="1"/>
  <c r="E61" i="18"/>
  <c r="K96" i="18"/>
  <c r="K73" i="18"/>
  <c r="L73" i="18" s="1"/>
  <c r="C57" i="18"/>
  <c r="H47" i="18"/>
  <c r="H51" i="18" s="1"/>
  <c r="H9" i="18" s="1"/>
  <c r="F95" i="18"/>
  <c r="F49" i="18"/>
  <c r="F48" i="18" s="1"/>
  <c r="F97" i="18"/>
  <c r="H98" i="18"/>
  <c r="H93" i="18"/>
  <c r="G61" i="18"/>
  <c r="I97" i="18"/>
  <c r="I95" i="18"/>
  <c r="I49" i="18"/>
  <c r="I48" i="18" s="1"/>
  <c r="I47" i="18" s="1"/>
  <c r="I51" i="18" s="1"/>
  <c r="I9" i="18" s="1"/>
  <c r="H95" i="18"/>
  <c r="E38" i="18"/>
  <c r="E60" i="18" s="1"/>
  <c r="E48" i="18"/>
  <c r="E47" i="18" s="1"/>
  <c r="E51" i="18" s="1"/>
  <c r="E9" i="18" s="1"/>
  <c r="G93" i="18"/>
  <c r="G98" i="18"/>
  <c r="G95" i="18"/>
  <c r="D86" i="4"/>
  <c r="D50" i="4" s="1"/>
  <c r="G37" i="4"/>
  <c r="E33" i="4"/>
  <c r="E91" i="4" s="1"/>
  <c r="E43" i="4"/>
  <c r="F36" i="4"/>
  <c r="H40" i="4"/>
  <c r="J43" i="4"/>
  <c r="K32" i="4"/>
  <c r="K90" i="4" s="1"/>
  <c r="E39" i="4"/>
  <c r="F41" i="4"/>
  <c r="F67" i="4" s="1"/>
  <c r="J68" i="4"/>
  <c r="E40" i="4"/>
  <c r="F39" i="4"/>
  <c r="G41" i="4"/>
  <c r="G67" i="4" s="1"/>
  <c r="I68" i="4"/>
  <c r="F40" i="4"/>
  <c r="G39" i="4"/>
  <c r="H41" i="4"/>
  <c r="H67" i="4" s="1"/>
  <c r="H68" i="4"/>
  <c r="G40" i="4"/>
  <c r="H39" i="4"/>
  <c r="I41" i="4"/>
  <c r="I67" i="4" s="1"/>
  <c r="G68" i="4"/>
  <c r="D80" i="4"/>
  <c r="I39" i="4"/>
  <c r="J41" i="4"/>
  <c r="J67" i="4" s="1"/>
  <c r="D81" i="4"/>
  <c r="I40" i="4"/>
  <c r="J39" i="4"/>
  <c r="K41" i="4"/>
  <c r="K67" i="4" s="1"/>
  <c r="D84" i="4"/>
  <c r="D83" i="4" s="1"/>
  <c r="D49" i="4" s="1"/>
  <c r="J40" i="4"/>
  <c r="K39" i="4"/>
  <c r="E68" i="4"/>
  <c r="K40" i="4"/>
  <c r="E41" i="4"/>
  <c r="F68" i="4"/>
  <c r="K68" i="4"/>
  <c r="J72" i="4"/>
  <c r="E72" i="4"/>
  <c r="F72" i="4"/>
  <c r="G72" i="4"/>
  <c r="H72" i="4"/>
  <c r="F84" i="4"/>
  <c r="E86" i="4"/>
  <c r="E50" i="4" s="1"/>
  <c r="G86" i="4"/>
  <c r="G50" i="4" s="1"/>
  <c r="K86" i="4"/>
  <c r="K96" i="4" s="1"/>
  <c r="F86" i="4"/>
  <c r="F50" i="4" s="1"/>
  <c r="H86" i="4"/>
  <c r="H50" i="4" s="1"/>
  <c r="I86" i="4"/>
  <c r="I50" i="4" s="1"/>
  <c r="J86" i="4"/>
  <c r="J50" i="4" s="1"/>
  <c r="K81" i="4"/>
  <c r="E84" i="4"/>
  <c r="G84" i="4"/>
  <c r="H84" i="4"/>
  <c r="I84" i="4"/>
  <c r="J84" i="4"/>
  <c r="F32" i="4"/>
  <c r="F90" i="4" s="1"/>
  <c r="F93" i="4" s="1"/>
  <c r="K84" i="4"/>
  <c r="E32" i="4"/>
  <c r="H37" i="4"/>
  <c r="I37" i="4"/>
  <c r="K80" i="4"/>
  <c r="H32" i="4"/>
  <c r="F33" i="4"/>
  <c r="G33" i="4"/>
  <c r="G91" i="4" s="1"/>
  <c r="E85" i="4"/>
  <c r="I33" i="4"/>
  <c r="I91" i="4" s="1"/>
  <c r="G85" i="4"/>
  <c r="G36" i="4"/>
  <c r="H36" i="4"/>
  <c r="J80" i="4"/>
  <c r="F85" i="4"/>
  <c r="G32" i="4"/>
  <c r="G59" i="4" s="1"/>
  <c r="H33" i="4"/>
  <c r="H91" i="4" s="1"/>
  <c r="I36" i="4"/>
  <c r="J37" i="4"/>
  <c r="E81" i="4"/>
  <c r="J36" i="4"/>
  <c r="K37" i="4"/>
  <c r="F43" i="4"/>
  <c r="F81" i="4"/>
  <c r="H85" i="4"/>
  <c r="I32" i="4"/>
  <c r="I90" i="4" s="1"/>
  <c r="I93" i="4" s="1"/>
  <c r="J33" i="4"/>
  <c r="J91" i="4" s="1"/>
  <c r="J94" i="4" s="1"/>
  <c r="K36" i="4"/>
  <c r="G43" i="4"/>
  <c r="G81" i="4"/>
  <c r="I85" i="4"/>
  <c r="J32" i="4"/>
  <c r="K33" i="4"/>
  <c r="K91" i="4" s="1"/>
  <c r="E37" i="4"/>
  <c r="H43" i="4"/>
  <c r="H81" i="4"/>
  <c r="K43" i="4"/>
  <c r="J85" i="4"/>
  <c r="E36" i="4"/>
  <c r="F37" i="4"/>
  <c r="I43" i="4"/>
  <c r="I81" i="4"/>
  <c r="P11" i="21" l="1"/>
  <c r="C14" i="21" s="1"/>
  <c r="C17" i="21"/>
  <c r="C18" i="21" s="1"/>
  <c r="K7" i="21"/>
  <c r="I61" i="19"/>
  <c r="I59" i="19"/>
  <c r="D48" i="4"/>
  <c r="I58" i="19"/>
  <c r="E94" i="4"/>
  <c r="K97" i="18"/>
  <c r="K61" i="18" a="1"/>
  <c r="K61" i="18" s="1"/>
  <c r="L61" i="18" s="1" a="1"/>
  <c r="I96" i="19"/>
  <c r="I82" i="19"/>
  <c r="I83" i="19"/>
  <c r="J42" i="4"/>
  <c r="K98" i="18"/>
  <c r="I67" i="19"/>
  <c r="I73" i="19" s="1"/>
  <c r="I45" i="19"/>
  <c r="I40" i="19"/>
  <c r="I44" i="19"/>
  <c r="K73" i="4"/>
  <c r="G48" i="19"/>
  <c r="I50" i="19"/>
  <c r="F50" i="19" s="1"/>
  <c r="I91" i="19"/>
  <c r="I94" i="19" s="1"/>
  <c r="I57" i="19"/>
  <c r="I90" i="19"/>
  <c r="I93" i="19" s="1"/>
  <c r="I74" i="19"/>
  <c r="I34" i="19"/>
  <c r="I56" i="19"/>
  <c r="K60" i="18"/>
  <c r="L60" i="18" s="1"/>
  <c r="H49" i="19"/>
  <c r="H48" i="19" s="1"/>
  <c r="H97" i="19"/>
  <c r="K7" i="19"/>
  <c r="J42" i="19"/>
  <c r="J80" i="19"/>
  <c r="J85" i="19"/>
  <c r="J37" i="19"/>
  <c r="J81" i="19"/>
  <c r="J43" i="19"/>
  <c r="J61" i="19" s="1"/>
  <c r="J32" i="19"/>
  <c r="J33" i="19"/>
  <c r="J86" i="19"/>
  <c r="J41" i="19"/>
  <c r="J36" i="19"/>
  <c r="J84" i="19"/>
  <c r="M56" i="19"/>
  <c r="N56" i="19" s="1"/>
  <c r="O56" i="19" s="1"/>
  <c r="P56" i="19" s="1"/>
  <c r="H47" i="19"/>
  <c r="H51" i="19" s="1"/>
  <c r="H9" i="19" s="1"/>
  <c r="K93" i="18"/>
  <c r="K95" i="18"/>
  <c r="F47" i="18"/>
  <c r="F51" i="18" s="1"/>
  <c r="F9" i="18" s="1"/>
  <c r="G47" i="18"/>
  <c r="G51" i="18" s="1"/>
  <c r="G9" i="18" s="1"/>
  <c r="J47" i="18"/>
  <c r="J51" i="18" s="1"/>
  <c r="J9" i="18" s="1"/>
  <c r="G73" i="4"/>
  <c r="G46" i="4"/>
  <c r="G74" i="4"/>
  <c r="I46" i="4"/>
  <c r="I74" i="4"/>
  <c r="F46" i="4"/>
  <c r="F74" i="4"/>
  <c r="I42" i="4"/>
  <c r="I61" i="4" s="1"/>
  <c r="G42" i="4"/>
  <c r="G44" i="4" s="1"/>
  <c r="K83" i="4"/>
  <c r="K49" i="4" s="1"/>
  <c r="C20" i="4"/>
  <c r="H46" i="4"/>
  <c r="H74" i="4"/>
  <c r="J46" i="4"/>
  <c r="J74" i="4"/>
  <c r="K46" i="4"/>
  <c r="K74" i="4"/>
  <c r="E46" i="4"/>
  <c r="E74" i="4"/>
  <c r="J73" i="4"/>
  <c r="H73" i="4"/>
  <c r="F73" i="4"/>
  <c r="I73" i="4"/>
  <c r="K58" i="4"/>
  <c r="E42" i="4"/>
  <c r="E44" i="4" s="1"/>
  <c r="F42" i="4"/>
  <c r="F61" i="4" s="1"/>
  <c r="K59" i="4"/>
  <c r="K42" i="4"/>
  <c r="D82" i="4"/>
  <c r="H42" i="4"/>
  <c r="H44" i="4" s="1"/>
  <c r="E96" i="4"/>
  <c r="F96" i="4"/>
  <c r="H96" i="4"/>
  <c r="J96" i="4"/>
  <c r="G96" i="4"/>
  <c r="I96" i="4"/>
  <c r="K98" i="4"/>
  <c r="K50" i="4"/>
  <c r="K57" i="4"/>
  <c r="H59" i="4"/>
  <c r="J59" i="4"/>
  <c r="H58" i="4"/>
  <c r="E59" i="4"/>
  <c r="G58" i="4"/>
  <c r="E58" i="4"/>
  <c r="F59" i="4"/>
  <c r="I58" i="4"/>
  <c r="J58" i="4"/>
  <c r="I59" i="4"/>
  <c r="F58" i="4"/>
  <c r="F56" i="4"/>
  <c r="K94" i="4"/>
  <c r="F98" i="4"/>
  <c r="I98" i="4"/>
  <c r="I94" i="4"/>
  <c r="G56" i="4"/>
  <c r="G90" i="4"/>
  <c r="G93" i="4" s="1"/>
  <c r="H94" i="4"/>
  <c r="H56" i="4"/>
  <c r="H90" i="4"/>
  <c r="H93" i="4" s="1"/>
  <c r="E34" i="4"/>
  <c r="E90" i="4"/>
  <c r="E93" i="4" s="1"/>
  <c r="K56" i="4"/>
  <c r="J90" i="4"/>
  <c r="J98" i="4" s="1"/>
  <c r="G94" i="4"/>
  <c r="K82" i="4"/>
  <c r="K93" i="4"/>
  <c r="F57" i="4"/>
  <c r="F91" i="4"/>
  <c r="F94" i="4" s="1"/>
  <c r="G82" i="4"/>
  <c r="G83" i="4"/>
  <c r="E82" i="4"/>
  <c r="E83" i="4"/>
  <c r="J82" i="4"/>
  <c r="J83" i="4"/>
  <c r="J49" i="4" s="1"/>
  <c r="I82" i="4"/>
  <c r="I83" i="4"/>
  <c r="I49" i="4" s="1"/>
  <c r="H82" i="4"/>
  <c r="H83" i="4"/>
  <c r="H49" i="4" s="1"/>
  <c r="F82" i="4"/>
  <c r="F83" i="4"/>
  <c r="E57" i="4"/>
  <c r="H57" i="4"/>
  <c r="J57" i="4"/>
  <c r="I56" i="4"/>
  <c r="I57" i="4"/>
  <c r="G57" i="4"/>
  <c r="F34" i="4"/>
  <c r="H34" i="4"/>
  <c r="G34" i="4"/>
  <c r="J34" i="4"/>
  <c r="I34" i="4"/>
  <c r="K34" i="4"/>
  <c r="J56" i="4"/>
  <c r="C19" i="21" l="1"/>
  <c r="C23" i="21" s="1"/>
  <c r="C26" i="21" s="1"/>
  <c r="M18" i="21"/>
  <c r="L19" i="21"/>
  <c r="N18" i="21"/>
  <c r="O20" i="21"/>
  <c r="L21" i="21"/>
  <c r="L20" i="21"/>
  <c r="M20" i="21"/>
  <c r="M17" i="21"/>
  <c r="P19" i="21"/>
  <c r="N17" i="21"/>
  <c r="P17" i="21"/>
  <c r="N21" i="21"/>
  <c r="N19" i="21"/>
  <c r="P18" i="21"/>
  <c r="L18" i="21"/>
  <c r="O21" i="21"/>
  <c r="P20" i="21"/>
  <c r="N20" i="21"/>
  <c r="P21" i="21"/>
  <c r="O17" i="21"/>
  <c r="O19" i="21"/>
  <c r="L17" i="21"/>
  <c r="M19" i="21"/>
  <c r="M21" i="21"/>
  <c r="O18" i="21"/>
  <c r="L7" i="21"/>
  <c r="M7" i="21" s="1"/>
  <c r="N7" i="21" s="1"/>
  <c r="O7" i="21" s="1"/>
  <c r="P7" i="21" s="1"/>
  <c r="I38" i="4"/>
  <c r="I60" i="4" s="1"/>
  <c r="F44" i="4"/>
  <c r="I98" i="19"/>
  <c r="K95" i="4"/>
  <c r="K97" i="4"/>
  <c r="J91" i="19"/>
  <c r="J94" i="19" s="1"/>
  <c r="J57" i="19"/>
  <c r="I95" i="19"/>
  <c r="I49" i="19"/>
  <c r="I97" i="19"/>
  <c r="J74" i="19"/>
  <c r="L32" i="19"/>
  <c r="L90" i="19" s="1"/>
  <c r="J56" i="19"/>
  <c r="J90" i="19"/>
  <c r="J34" i="19"/>
  <c r="J59" i="19"/>
  <c r="L7" i="19"/>
  <c r="M7" i="19" s="1"/>
  <c r="N7" i="19" s="1"/>
  <c r="O7" i="19" s="1"/>
  <c r="P7" i="19" s="1"/>
  <c r="K80" i="19"/>
  <c r="K85" i="19"/>
  <c r="K37" i="19"/>
  <c r="K42" i="19"/>
  <c r="K81" i="19"/>
  <c r="K43" i="19"/>
  <c r="K32" i="19"/>
  <c r="K86" i="19"/>
  <c r="K41" i="19"/>
  <c r="H14" i="19"/>
  <c r="K36" i="19"/>
  <c r="K84" i="19"/>
  <c r="C20" i="19" s="1"/>
  <c r="K33" i="19"/>
  <c r="J58" i="19"/>
  <c r="J96" i="19"/>
  <c r="J82" i="19"/>
  <c r="J83" i="19"/>
  <c r="J45" i="19"/>
  <c r="J67" i="19"/>
  <c r="J73" i="19" s="1"/>
  <c r="J93" i="19"/>
  <c r="I39" i="19"/>
  <c r="I38" i="19" s="1"/>
  <c r="I60" i="19" s="1"/>
  <c r="J38" i="4"/>
  <c r="J60" i="4" s="1"/>
  <c r="J98" i="19"/>
  <c r="J50" i="19"/>
  <c r="J40" i="19"/>
  <c r="J44" i="19"/>
  <c r="C57" i="4"/>
  <c r="L57" i="4" s="1"/>
  <c r="M57" i="4" s="1"/>
  <c r="N57" i="4" s="1"/>
  <c r="O57" i="4" s="1"/>
  <c r="P57" i="4" s="1"/>
  <c r="C59" i="4"/>
  <c r="L59" i="4" s="1"/>
  <c r="M59" i="4" s="1"/>
  <c r="N59" i="4" s="1"/>
  <c r="O59" i="4" s="1"/>
  <c r="P59" i="4" s="1"/>
  <c r="G38" i="4"/>
  <c r="G60" i="4" s="1"/>
  <c r="L56" i="4"/>
  <c r="M56" i="4" s="1"/>
  <c r="N56" i="4" s="1"/>
  <c r="O56" i="4" s="1"/>
  <c r="P56" i="4" s="1"/>
  <c r="C58" i="4"/>
  <c r="L58" i="4" s="1"/>
  <c r="M58" i="4" s="1"/>
  <c r="N58" i="4" s="1"/>
  <c r="O58" i="4" s="1"/>
  <c r="P58" i="4" s="1"/>
  <c r="C56" i="4"/>
  <c r="G61" i="4"/>
  <c r="K38" i="4"/>
  <c r="K60" i="4" s="1"/>
  <c r="H17" i="4"/>
  <c r="H19" i="4" s="1"/>
  <c r="H26" i="4" s="1"/>
  <c r="F38" i="4"/>
  <c r="F60" i="4" s="1"/>
  <c r="G49" i="4"/>
  <c r="G48" i="4" s="1"/>
  <c r="H38" i="4"/>
  <c r="H60" i="4" s="1"/>
  <c r="F49" i="4"/>
  <c r="F48" i="4" s="1"/>
  <c r="E49" i="4"/>
  <c r="E48" i="4" s="1"/>
  <c r="E47" i="4" s="1"/>
  <c r="E61" i="4"/>
  <c r="H61" i="4"/>
  <c r="E38" i="4"/>
  <c r="E60" i="4" s="1"/>
  <c r="L96" i="4"/>
  <c r="M96" i="4" s="1"/>
  <c r="N96" i="4" s="1"/>
  <c r="O96" i="4" s="1"/>
  <c r="P96" i="4" s="1"/>
  <c r="L94" i="4"/>
  <c r="M94" i="4" s="1"/>
  <c r="H48" i="4"/>
  <c r="C96" i="4"/>
  <c r="F45" i="4"/>
  <c r="H45" i="4"/>
  <c r="E98" i="4"/>
  <c r="L82" i="4"/>
  <c r="M82" i="4" s="1"/>
  <c r="N82" i="4" s="1"/>
  <c r="O82" i="4" s="1"/>
  <c r="P82" i="4" s="1"/>
  <c r="H97" i="4"/>
  <c r="H95" i="4"/>
  <c r="I97" i="4"/>
  <c r="I95" i="4"/>
  <c r="G97" i="4"/>
  <c r="G95" i="4"/>
  <c r="J97" i="4"/>
  <c r="J95" i="4"/>
  <c r="F97" i="4"/>
  <c r="F95" i="4"/>
  <c r="E97" i="4"/>
  <c r="E95" i="4"/>
  <c r="H98" i="4"/>
  <c r="J93" i="4"/>
  <c r="G98" i="4"/>
  <c r="E67" i="4"/>
  <c r="E73" i="4" s="1"/>
  <c r="J44" i="4"/>
  <c r="I44" i="4"/>
  <c r="K44" i="4"/>
  <c r="K61" i="4"/>
  <c r="J61" i="4"/>
  <c r="K58" i="19" l="1"/>
  <c r="K59" i="19"/>
  <c r="M32" i="19"/>
  <c r="N32" i="19" s="1"/>
  <c r="J49" i="19"/>
  <c r="J48" i="19" s="1"/>
  <c r="J97" i="19"/>
  <c r="J95" i="19"/>
  <c r="K67" i="19"/>
  <c r="K73" i="19" s="1"/>
  <c r="L73" i="19" s="1"/>
  <c r="K45" i="19"/>
  <c r="K50" i="19"/>
  <c r="H24" i="19"/>
  <c r="H18" i="19"/>
  <c r="K90" i="19"/>
  <c r="K93" i="19" s="1"/>
  <c r="L93" i="19" s="1"/>
  <c r="K56" i="19"/>
  <c r="K34" i="19"/>
  <c r="K74" i="19"/>
  <c r="L74" i="19" s="1"/>
  <c r="J39" i="19"/>
  <c r="J38" i="19" s="1"/>
  <c r="J60" i="19" s="1"/>
  <c r="C58" i="19"/>
  <c r="L58" i="19" s="1"/>
  <c r="K61" i="19"/>
  <c r="L61" i="19" s="1" a="1"/>
  <c r="L61" i="19" s="1"/>
  <c r="M61" i="19" s="1"/>
  <c r="N61" i="19" s="1"/>
  <c r="O61" i="19" s="1"/>
  <c r="P61" i="19" s="1"/>
  <c r="H17" i="19"/>
  <c r="H19" i="19" s="1"/>
  <c r="K91" i="19"/>
  <c r="K94" i="19" s="1"/>
  <c r="L94" i="19" s="1"/>
  <c r="M94" i="19" s="1"/>
  <c r="N94" i="19" s="1"/>
  <c r="O94" i="19" s="1"/>
  <c r="K57" i="19"/>
  <c r="K96" i="19"/>
  <c r="C96" i="19" s="1"/>
  <c r="K82" i="19"/>
  <c r="L82" i="19" s="1"/>
  <c r="M82" i="19" s="1"/>
  <c r="N82" i="19" s="1"/>
  <c r="O82" i="19" s="1"/>
  <c r="P82" i="19" s="1"/>
  <c r="K83" i="19"/>
  <c r="C16" i="4"/>
  <c r="K19" i="4"/>
  <c r="K40" i="19"/>
  <c r="K44" i="19"/>
  <c r="C59" i="19"/>
  <c r="L59" i="19" s="1"/>
  <c r="I48" i="19"/>
  <c r="I47" i="19" s="1"/>
  <c r="I51" i="19" s="1"/>
  <c r="I9" i="19" s="1"/>
  <c r="F49" i="19"/>
  <c r="F48" i="19" s="1"/>
  <c r="G47" i="19" s="1"/>
  <c r="G51" i="19" s="1"/>
  <c r="G9" i="19" s="1"/>
  <c r="M90" i="19"/>
  <c r="L32" i="4"/>
  <c r="L37" i="4" s="1"/>
  <c r="H47" i="4"/>
  <c r="F47" i="4"/>
  <c r="L60" i="4"/>
  <c r="M60" i="4" s="1"/>
  <c r="N60" i="4" s="1"/>
  <c r="O60" i="4" s="1"/>
  <c r="P60" i="4" s="1"/>
  <c r="G47" i="4"/>
  <c r="L95" i="4"/>
  <c r="M95" i="4" s="1"/>
  <c r="N95" i="4" s="1"/>
  <c r="O95" i="4" s="1"/>
  <c r="P95" i="4" s="1"/>
  <c r="L98" i="4"/>
  <c r="M98" i="4" s="1"/>
  <c r="L97" i="4"/>
  <c r="M97" i="4" s="1"/>
  <c r="N97" i="4" s="1"/>
  <c r="O97" i="4" s="1"/>
  <c r="P97" i="4" s="1"/>
  <c r="L93" i="4"/>
  <c r="M93" i="4" s="1"/>
  <c r="N93" i="4" s="1"/>
  <c r="L61" i="4" a="1"/>
  <c r="L61" i="4" s="1"/>
  <c r="M61" i="4" s="1"/>
  <c r="N61" i="4" s="1"/>
  <c r="O61" i="4" s="1"/>
  <c r="P61" i="4" s="1"/>
  <c r="C97" i="4"/>
  <c r="C98" i="4"/>
  <c r="E45" i="4"/>
  <c r="C95" i="4"/>
  <c r="N94" i="4"/>
  <c r="G45" i="4"/>
  <c r="K45" i="4"/>
  <c r="J45" i="4"/>
  <c r="I45" i="4"/>
  <c r="K98" i="19" l="1"/>
  <c r="L98" i="19" s="1"/>
  <c r="M98" i="19" s="1"/>
  <c r="N98" i="19" s="1"/>
  <c r="O98" i="19" s="1"/>
  <c r="P98" i="19" s="1"/>
  <c r="H26" i="19"/>
  <c r="M93" i="19"/>
  <c r="N93" i="19" s="1"/>
  <c r="L80" i="19"/>
  <c r="M58" i="19"/>
  <c r="L36" i="19"/>
  <c r="C57" i="19"/>
  <c r="L57" i="19" s="1"/>
  <c r="C98" i="19"/>
  <c r="M73" i="19"/>
  <c r="L67" i="19"/>
  <c r="L41" i="19" s="1"/>
  <c r="L45" i="19" s="1"/>
  <c r="K20" i="4"/>
  <c r="K21" i="4" s="1"/>
  <c r="K18" i="4"/>
  <c r="C95" i="19"/>
  <c r="L97" i="19"/>
  <c r="M97" i="19" s="1"/>
  <c r="N97" i="19" s="1"/>
  <c r="O97" i="19" s="1"/>
  <c r="P97" i="19" s="1"/>
  <c r="M59" i="19"/>
  <c r="L37" i="19"/>
  <c r="K39" i="19"/>
  <c r="K38" i="19" s="1"/>
  <c r="K60" i="19" s="1"/>
  <c r="L60" i="19" s="1"/>
  <c r="K97" i="19"/>
  <c r="C97" i="19" s="1"/>
  <c r="K95" i="19"/>
  <c r="L95" i="19" s="1"/>
  <c r="M95" i="19" s="1"/>
  <c r="N95" i="19" s="1"/>
  <c r="O95" i="19" s="1"/>
  <c r="P95" i="19" s="1"/>
  <c r="K49" i="19"/>
  <c r="K48" i="19" s="1"/>
  <c r="K47" i="19" s="1"/>
  <c r="K51" i="19" s="1"/>
  <c r="K9" i="19" s="1"/>
  <c r="K19" i="19"/>
  <c r="C16" i="19"/>
  <c r="J47" i="19"/>
  <c r="J51" i="19" s="1"/>
  <c r="J9" i="19" s="1"/>
  <c r="M74" i="19"/>
  <c r="L68" i="19"/>
  <c r="L46" i="19" s="1"/>
  <c r="L33" i="4"/>
  <c r="L34" i="4" s="1"/>
  <c r="L96" i="19"/>
  <c r="M96" i="19" s="1"/>
  <c r="N96" i="19" s="1"/>
  <c r="O96" i="19" s="1"/>
  <c r="P96" i="19" s="1"/>
  <c r="M80" i="19"/>
  <c r="P94" i="19"/>
  <c r="O93" i="19"/>
  <c r="N90" i="19"/>
  <c r="O32" i="19"/>
  <c r="L36" i="4"/>
  <c r="L90" i="4"/>
  <c r="L38" i="4"/>
  <c r="H51" i="4"/>
  <c r="H9" i="4" s="1"/>
  <c r="L86" i="4"/>
  <c r="L50" i="4" s="1"/>
  <c r="L80" i="4"/>
  <c r="E51" i="4"/>
  <c r="E9" i="4" s="1"/>
  <c r="F51" i="4"/>
  <c r="F9" i="4" s="1"/>
  <c r="N98" i="4"/>
  <c r="G51" i="4"/>
  <c r="G9" i="4" s="1"/>
  <c r="M32" i="4"/>
  <c r="O94" i="4"/>
  <c r="O93" i="4"/>
  <c r="M60" i="19" l="1"/>
  <c r="L38" i="19"/>
  <c r="L91" i="4"/>
  <c r="L81" i="4" s="1"/>
  <c r="N59" i="19"/>
  <c r="M37" i="19"/>
  <c r="L39" i="19"/>
  <c r="N58" i="19"/>
  <c r="M36" i="19"/>
  <c r="L86" i="19"/>
  <c r="N74" i="19"/>
  <c r="M68" i="19"/>
  <c r="M46" i="19" s="1"/>
  <c r="M57" i="19"/>
  <c r="L33" i="19"/>
  <c r="K18" i="19"/>
  <c r="K17" i="19" s="1"/>
  <c r="K20" i="19"/>
  <c r="K21" i="19" s="1"/>
  <c r="K17" i="4"/>
  <c r="N86" i="19"/>
  <c r="M86" i="19"/>
  <c r="N73" i="19"/>
  <c r="M67" i="19"/>
  <c r="M41" i="19" s="1"/>
  <c r="M45" i="19" s="1"/>
  <c r="P93" i="19"/>
  <c r="N50" i="19"/>
  <c r="N85" i="19"/>
  <c r="P32" i="19"/>
  <c r="O90" i="19"/>
  <c r="O86" i="19" s="1"/>
  <c r="N80" i="19"/>
  <c r="L39" i="4"/>
  <c r="M90" i="4"/>
  <c r="L85" i="4"/>
  <c r="L83" i="4"/>
  <c r="L49" i="4" s="1"/>
  <c r="O98" i="4"/>
  <c r="L73" i="4"/>
  <c r="L67" i="4" s="1"/>
  <c r="M38" i="4"/>
  <c r="M36" i="4"/>
  <c r="M37" i="4"/>
  <c r="M33" i="4"/>
  <c r="N32" i="4"/>
  <c r="P94" i="4"/>
  <c r="P93" i="4"/>
  <c r="J48" i="4"/>
  <c r="K48" i="4"/>
  <c r="I48" i="4"/>
  <c r="I47" i="4" s="1"/>
  <c r="L91" i="19" l="1"/>
  <c r="L81" i="19" s="1"/>
  <c r="L83" i="19" s="1"/>
  <c r="L49" i="19" s="1"/>
  <c r="L34" i="19"/>
  <c r="L40" i="19" s="1"/>
  <c r="L42" i="19" s="1"/>
  <c r="L43" i="19" s="1"/>
  <c r="L44" i="19" s="1"/>
  <c r="O73" i="19"/>
  <c r="N67" i="19"/>
  <c r="N41" i="19" s="1"/>
  <c r="N45" i="19" s="1"/>
  <c r="O59" i="19"/>
  <c r="N37" i="19"/>
  <c r="O74" i="19"/>
  <c r="N68" i="19"/>
  <c r="N46" i="19" s="1"/>
  <c r="L85" i="19"/>
  <c r="L84" i="19" s="1"/>
  <c r="L50" i="19"/>
  <c r="N57" i="19"/>
  <c r="M33" i="19"/>
  <c r="M85" i="19"/>
  <c r="M50" i="19"/>
  <c r="N60" i="19"/>
  <c r="M38" i="19"/>
  <c r="M39" i="19" s="1"/>
  <c r="O58" i="19"/>
  <c r="N36" i="19"/>
  <c r="O80" i="19"/>
  <c r="O85" i="19"/>
  <c r="O50" i="19"/>
  <c r="P90" i="19"/>
  <c r="P86" i="19" s="1"/>
  <c r="J47" i="4"/>
  <c r="J51" i="4" s="1"/>
  <c r="J9" i="4" s="1"/>
  <c r="L41" i="4"/>
  <c r="L40" i="4" s="1"/>
  <c r="L42" i="4" s="1"/>
  <c r="L43" i="4" s="1"/>
  <c r="L44" i="4" s="1"/>
  <c r="K47" i="4"/>
  <c r="K51" i="4" s="1"/>
  <c r="K9" i="4" s="1"/>
  <c r="N90" i="4"/>
  <c r="N86" i="4" s="1"/>
  <c r="N50" i="4" s="1"/>
  <c r="M80" i="4"/>
  <c r="M86" i="4"/>
  <c r="L48" i="4"/>
  <c r="L47" i="4" s="1"/>
  <c r="L84" i="4"/>
  <c r="L74" i="4"/>
  <c r="P98" i="4"/>
  <c r="M34" i="4"/>
  <c r="M91" i="4"/>
  <c r="M81" i="4" s="1"/>
  <c r="M73" i="4"/>
  <c r="I51" i="4"/>
  <c r="I9" i="4" s="1"/>
  <c r="M39" i="4"/>
  <c r="N38" i="4"/>
  <c r="N36" i="4"/>
  <c r="N37" i="4"/>
  <c r="N33" i="4"/>
  <c r="O32" i="4"/>
  <c r="L48" i="19" l="1"/>
  <c r="L47" i="19" s="1"/>
  <c r="P59" i="19"/>
  <c r="P37" i="19" s="1"/>
  <c r="O37" i="19"/>
  <c r="M91" i="19"/>
  <c r="M81" i="19" s="1"/>
  <c r="M83" i="19" s="1"/>
  <c r="M49" i="19" s="1"/>
  <c r="M48" i="19" s="1"/>
  <c r="M47" i="19" s="1"/>
  <c r="M34" i="19"/>
  <c r="M40" i="19" s="1"/>
  <c r="M42" i="19" s="1"/>
  <c r="M43" i="19" s="1"/>
  <c r="M44" i="19" s="1"/>
  <c r="O57" i="19"/>
  <c r="N33" i="19"/>
  <c r="P58" i="19"/>
  <c r="P36" i="19" s="1"/>
  <c r="O36" i="19"/>
  <c r="P73" i="19"/>
  <c r="P67" i="19" s="1"/>
  <c r="P41" i="19" s="1"/>
  <c r="P45" i="19" s="1"/>
  <c r="O67" i="19"/>
  <c r="O41" i="19" s="1"/>
  <c r="O45" i="19" s="1"/>
  <c r="P74" i="19"/>
  <c r="P68" i="19" s="1"/>
  <c r="P46" i="19" s="1"/>
  <c r="O68" i="19"/>
  <c r="O46" i="19" s="1"/>
  <c r="L51" i="19"/>
  <c r="L9" i="19" s="1"/>
  <c r="L11" i="19" s="1"/>
  <c r="O60" i="19"/>
  <c r="N38" i="19"/>
  <c r="N39" i="19" s="1"/>
  <c r="P85" i="19"/>
  <c r="P50" i="19"/>
  <c r="P80" i="19"/>
  <c r="N73" i="4"/>
  <c r="M67" i="4"/>
  <c r="L68" i="4"/>
  <c r="L46" i="4" s="1"/>
  <c r="L45" i="4"/>
  <c r="M83" i="4"/>
  <c r="M49" i="4" s="1"/>
  <c r="N85" i="4"/>
  <c r="N80" i="4"/>
  <c r="M50" i="4"/>
  <c r="M85" i="4"/>
  <c r="M74" i="4"/>
  <c r="P32" i="4"/>
  <c r="O90" i="4"/>
  <c r="O86" i="4" s="1"/>
  <c r="O85" i="4" s="1"/>
  <c r="N34" i="4"/>
  <c r="N91" i="4"/>
  <c r="N81" i="4" s="1"/>
  <c r="N39" i="4"/>
  <c r="O38" i="4"/>
  <c r="O36" i="4"/>
  <c r="O37" i="4"/>
  <c r="O33" i="4"/>
  <c r="M51" i="19" l="1"/>
  <c r="M9" i="19" s="1"/>
  <c r="M11" i="19" s="1"/>
  <c r="N91" i="19"/>
  <c r="N81" i="19" s="1"/>
  <c r="N83" i="19" s="1"/>
  <c r="N34" i="19"/>
  <c r="N40" i="19" s="1"/>
  <c r="N42" i="19" s="1"/>
  <c r="N43" i="19" s="1"/>
  <c r="N44" i="19" s="1"/>
  <c r="M84" i="19"/>
  <c r="P57" i="19"/>
  <c r="P33" i="19" s="1"/>
  <c r="O33" i="19"/>
  <c r="O39" i="19"/>
  <c r="P60" i="19"/>
  <c r="P38" i="19" s="1"/>
  <c r="P39" i="19" s="1"/>
  <c r="O38" i="19"/>
  <c r="N74" i="4"/>
  <c r="M68" i="4"/>
  <c r="O73" i="4"/>
  <c r="N67" i="4"/>
  <c r="L51" i="4"/>
  <c r="L9" i="4" s="1"/>
  <c r="L11" i="4" s="1"/>
  <c r="M48" i="4"/>
  <c r="M47" i="4" s="1"/>
  <c r="N83" i="4"/>
  <c r="N49" i="4" s="1"/>
  <c r="N48" i="4" s="1"/>
  <c r="M84" i="4"/>
  <c r="P90" i="4"/>
  <c r="P86" i="4" s="1"/>
  <c r="P85" i="4" s="1"/>
  <c r="O50" i="4"/>
  <c r="P38" i="4"/>
  <c r="P33" i="4"/>
  <c r="P34" i="4" s="1"/>
  <c r="O34" i="4"/>
  <c r="O91" i="4"/>
  <c r="O81" i="4" s="1"/>
  <c r="O80" i="4"/>
  <c r="P37" i="4"/>
  <c r="P36" i="4"/>
  <c r="M41" i="4"/>
  <c r="M40" i="4" s="1"/>
  <c r="M42" i="4" s="1"/>
  <c r="O39" i="4"/>
  <c r="O91" i="19" l="1"/>
  <c r="O81" i="19" s="1"/>
  <c r="O83" i="19" s="1"/>
  <c r="O34" i="19"/>
  <c r="O40" i="19" s="1"/>
  <c r="O42" i="19" s="1"/>
  <c r="O43" i="19" s="1"/>
  <c r="O44" i="19" s="1"/>
  <c r="P91" i="19"/>
  <c r="P81" i="19" s="1"/>
  <c r="P83" i="19" s="1"/>
  <c r="P34" i="19"/>
  <c r="P40" i="19" s="1"/>
  <c r="P42" i="19" s="1"/>
  <c r="P43" i="19" s="1"/>
  <c r="N49" i="19"/>
  <c r="N48" i="19" s="1"/>
  <c r="N47" i="19" s="1"/>
  <c r="N51" i="19" s="1"/>
  <c r="N9" i="19" s="1"/>
  <c r="N11" i="19" s="1"/>
  <c r="N84" i="19"/>
  <c r="O74" i="4"/>
  <c r="N68" i="4"/>
  <c r="P73" i="4"/>
  <c r="P67" i="4" s="1"/>
  <c r="O67" i="4"/>
  <c r="M46" i="4"/>
  <c r="N84" i="4"/>
  <c r="N47" i="4"/>
  <c r="P50" i="4"/>
  <c r="P80" i="4"/>
  <c r="P91" i="4"/>
  <c r="P81" i="4" s="1"/>
  <c r="P39" i="4"/>
  <c r="O83" i="4"/>
  <c r="M45" i="4"/>
  <c r="P44" i="19" l="1"/>
  <c r="P49" i="19"/>
  <c r="P48" i="19" s="1"/>
  <c r="P84" i="19"/>
  <c r="O49" i="19"/>
  <c r="O48" i="19" s="1"/>
  <c r="O47" i="19" s="1"/>
  <c r="O51" i="19" s="1"/>
  <c r="O9" i="19" s="1"/>
  <c r="O11" i="19" s="1"/>
  <c r="O84" i="19"/>
  <c r="P83" i="4"/>
  <c r="P49" i="4" s="1"/>
  <c r="P48" i="4" s="1"/>
  <c r="P74" i="4"/>
  <c r="P68" i="4" s="1"/>
  <c r="O68" i="4"/>
  <c r="O49" i="4"/>
  <c r="O48" i="4" s="1"/>
  <c r="O47" i="4" s="1"/>
  <c r="O84" i="4"/>
  <c r="M43" i="4"/>
  <c r="M44" i="4" s="1"/>
  <c r="M51" i="4" s="1"/>
  <c r="M9" i="4" s="1"/>
  <c r="M11" i="4" s="1"/>
  <c r="P47" i="19" l="1"/>
  <c r="P51" i="19" s="1"/>
  <c r="P9" i="19" s="1"/>
  <c r="P47" i="4"/>
  <c r="P84" i="4"/>
  <c r="N41" i="4"/>
  <c r="N40" i="4" s="1"/>
  <c r="N42" i="4" s="1"/>
  <c r="N43" i="4" s="1"/>
  <c r="N44" i="4" s="1"/>
  <c r="N46" i="4"/>
  <c r="P11" i="19" l="1"/>
  <c r="C14" i="19" s="1"/>
  <c r="N17" i="19" s="1"/>
  <c r="L20" i="19"/>
  <c r="M21" i="19"/>
  <c r="M19" i="19"/>
  <c r="L18" i="19"/>
  <c r="O20" i="19"/>
  <c r="P20" i="19"/>
  <c r="O21" i="19"/>
  <c r="C17" i="19"/>
  <c r="C18" i="19" s="1"/>
  <c r="C19" i="19" s="1"/>
  <c r="C23" i="19" s="1"/>
  <c r="C26" i="19" s="1"/>
  <c r="N19" i="19"/>
  <c r="P21" i="19"/>
  <c r="L19" i="19"/>
  <c r="O18" i="19"/>
  <c r="N20" i="19"/>
  <c r="P18" i="19"/>
  <c r="L17" i="19"/>
  <c r="M20" i="19"/>
  <c r="N18" i="19"/>
  <c r="O19" i="19"/>
  <c r="M18" i="19"/>
  <c r="P19" i="19"/>
  <c r="N21" i="19"/>
  <c r="O17" i="19"/>
  <c r="M17" i="19"/>
  <c r="P17" i="19"/>
  <c r="L21" i="19"/>
  <c r="N45" i="4"/>
  <c r="N51" i="4" s="1"/>
  <c r="N9" i="4" s="1"/>
  <c r="N11" i="4" s="1"/>
  <c r="O46" i="4"/>
  <c r="O41" i="4" l="1"/>
  <c r="O40" i="4" s="1"/>
  <c r="O42" i="4" s="1"/>
  <c r="O43" i="4" s="1"/>
  <c r="O44" i="4" s="1"/>
  <c r="O45" i="4" l="1"/>
  <c r="O51" i="4" s="1"/>
  <c r="O9" i="4" s="1"/>
  <c r="O11" i="4" s="1"/>
  <c r="P46" i="4"/>
  <c r="P41" i="4" l="1"/>
  <c r="P40" i="4" l="1"/>
  <c r="P42" i="4" s="1"/>
  <c r="P43" i="4" s="1"/>
  <c r="P44" i="4" s="1"/>
  <c r="P45" i="4"/>
  <c r="P51" i="4" l="1"/>
  <c r="P9" i="4" s="1"/>
  <c r="P11" i="4" l="1"/>
  <c r="C14" i="4" s="1"/>
  <c r="O19" i="4" s="1"/>
  <c r="C17" i="4"/>
  <c r="C18" i="4" s="1"/>
  <c r="C19" i="4" s="1"/>
  <c r="C23" i="4" s="1"/>
  <c r="C26" i="4" s="1"/>
  <c r="L61" i="18"/>
  <c r="M61" i="18" s="1"/>
  <c r="N61" i="18" s="1"/>
  <c r="O61" i="18" s="1"/>
  <c r="P61" i="18" s="1"/>
  <c r="M60" i="18"/>
  <c r="N60" i="18" s="1"/>
  <c r="O60" i="18" s="1"/>
  <c r="P60" i="18" s="1"/>
  <c r="K56" i="18"/>
  <c r="L56" i="18" s="1"/>
  <c r="L21" i="4" l="1"/>
  <c r="P21" i="4"/>
  <c r="P17" i="4"/>
  <c r="M20" i="4"/>
  <c r="N21" i="4"/>
  <c r="N17" i="4"/>
  <c r="O17" i="4"/>
  <c r="M18" i="4"/>
  <c r="O18" i="4"/>
  <c r="L17" i="4"/>
  <c r="L19" i="4"/>
  <c r="P19" i="4"/>
  <c r="L18" i="4"/>
  <c r="N18" i="4"/>
  <c r="M21" i="4"/>
  <c r="N19" i="4"/>
  <c r="O20" i="4"/>
  <c r="M17" i="4"/>
  <c r="O21" i="4"/>
  <c r="P18" i="4"/>
  <c r="P20" i="4"/>
  <c r="N20" i="4"/>
  <c r="L20" i="4"/>
  <c r="M19" i="4"/>
  <c r="K32" i="18"/>
  <c r="K90" i="18" s="1"/>
  <c r="M56" i="18"/>
  <c r="N56" i="18" s="1"/>
  <c r="O56" i="18" s="1"/>
  <c r="P56" i="18" s="1"/>
  <c r="K38" i="18" l="1"/>
  <c r="L32" i="18"/>
  <c r="L38" i="18" s="1"/>
  <c r="L90" i="18" l="1"/>
  <c r="L68" i="18"/>
  <c r="L46" i="18" s="1"/>
  <c r="M32" i="18"/>
  <c r="N32" i="18" s="1"/>
  <c r="M38" i="18" l="1"/>
  <c r="M68" i="18"/>
  <c r="M46" i="18" s="1"/>
  <c r="M90" i="18"/>
  <c r="O32" i="18"/>
  <c r="N38" i="18"/>
  <c r="N90" i="18"/>
  <c r="N68" i="18"/>
  <c r="N46" i="18" s="1"/>
  <c r="O68" i="18" l="1"/>
  <c r="O46" i="18" s="1"/>
  <c r="P32" i="18"/>
  <c r="O90" i="18"/>
  <c r="O38" i="18"/>
  <c r="P90" i="18" l="1"/>
  <c r="P38" i="18"/>
  <c r="P68" i="18"/>
  <c r="P46" i="18" s="1"/>
  <c r="K57" i="18" l="1"/>
  <c r="L57" i="18" s="1"/>
  <c r="M57" i="18" s="1"/>
  <c r="K33" i="18" l="1"/>
  <c r="M33" i="18"/>
  <c r="N57" i="18"/>
  <c r="L33" i="18"/>
  <c r="K91" i="18" l="1"/>
  <c r="K34" i="18"/>
  <c r="L91" i="18"/>
  <c r="L34" i="18"/>
  <c r="M91" i="18"/>
  <c r="M34" i="18"/>
  <c r="O57" i="18"/>
  <c r="N33" i="18"/>
  <c r="N34" i="18" l="1"/>
  <c r="N91" i="18"/>
  <c r="O33" i="18"/>
  <c r="P57" i="18"/>
  <c r="P33" i="18" s="1"/>
  <c r="P34" i="18" l="1"/>
  <c r="P91" i="18"/>
  <c r="O91" i="18"/>
  <c r="O34" i="18"/>
  <c r="K58" i="18" l="1"/>
  <c r="K36" i="18" s="1"/>
  <c r="L58" i="18" l="1"/>
  <c r="L36" i="18" l="1"/>
  <c r="M58" i="18"/>
  <c r="N58" i="18" l="1"/>
  <c r="M36" i="18"/>
  <c r="N36" i="18" l="1"/>
  <c r="O58" i="18"/>
  <c r="P58" i="18" l="1"/>
  <c r="P36" i="18" s="1"/>
  <c r="O36" i="18"/>
  <c r="K59" i="18"/>
  <c r="K37" i="18" s="1"/>
  <c r="K39" i="18" s="1"/>
  <c r="L59" i="18" l="1"/>
  <c r="M59" i="18" l="1"/>
  <c r="L37" i="18"/>
  <c r="L39" i="18" s="1"/>
  <c r="N59" i="18" l="1"/>
  <c r="M37" i="18"/>
  <c r="M39" i="18" s="1"/>
  <c r="N37" i="18" l="1"/>
  <c r="N39" i="18" s="1"/>
  <c r="O59" i="18"/>
  <c r="P59" i="18" l="1"/>
  <c r="P37" i="18" s="1"/>
  <c r="P39" i="18" s="1"/>
  <c r="O37" i="18"/>
  <c r="O39" i="18" s="1"/>
  <c r="M73" i="18"/>
  <c r="K67" i="18"/>
  <c r="K41" i="18" s="1"/>
  <c r="K68" i="18"/>
  <c r="K46" i="18" s="1"/>
  <c r="K40" i="18" l="1"/>
  <c r="K42" i="18" s="1"/>
  <c r="K45" i="18"/>
  <c r="M67" i="18"/>
  <c r="M41" i="18" s="1"/>
  <c r="N73" i="18"/>
  <c r="L67" i="18"/>
  <c r="L41" i="18" s="1"/>
  <c r="L45" i="18" l="1"/>
  <c r="L40" i="18"/>
  <c r="L42" i="18" s="1"/>
  <c r="O73" i="18"/>
  <c r="N67" i="18"/>
  <c r="N41" i="18" s="1"/>
  <c r="M45" i="18"/>
  <c r="M40" i="18"/>
  <c r="M42" i="18" s="1"/>
  <c r="K43" i="18"/>
  <c r="H17" i="18" s="1"/>
  <c r="H19" i="18" s="1"/>
  <c r="H26" i="18" s="1"/>
  <c r="K44" i="18" l="1"/>
  <c r="N45" i="18"/>
  <c r="N40" i="18"/>
  <c r="N42" i="18" s="1"/>
  <c r="C16" i="18"/>
  <c r="K19" i="18"/>
  <c r="M43" i="18"/>
  <c r="M44" i="18" s="1"/>
  <c r="P73" i="18"/>
  <c r="P67" i="18" s="1"/>
  <c r="P41" i="18" s="1"/>
  <c r="O67" i="18"/>
  <c r="O41" i="18" s="1"/>
  <c r="L43" i="18"/>
  <c r="L44" i="18" s="1"/>
  <c r="P40" i="18" l="1"/>
  <c r="P42" i="18" s="1"/>
  <c r="P45" i="18"/>
  <c r="O40" i="18"/>
  <c r="O42" i="18" s="1"/>
  <c r="O45" i="18"/>
  <c r="K20" i="18"/>
  <c r="K21" i="18" s="1"/>
  <c r="K18" i="18"/>
  <c r="K17" i="18" s="1"/>
  <c r="N43" i="18"/>
  <c r="N44" i="18" s="1"/>
  <c r="O43" i="18" l="1"/>
  <c r="O44" i="18" s="1"/>
  <c r="P43" i="18"/>
  <c r="P44" i="18" s="1"/>
  <c r="L96" i="18"/>
  <c r="M96" i="18" s="1"/>
  <c r="N96" i="18" s="1"/>
  <c r="O96" i="18" s="1"/>
  <c r="P96" i="18" s="1"/>
  <c r="L97" i="18"/>
  <c r="M97" i="18" s="1"/>
  <c r="N97" i="18" s="1"/>
  <c r="O97" i="18" s="1"/>
  <c r="P97" i="18" s="1"/>
  <c r="L95" i="18"/>
  <c r="M95" i="18" s="1"/>
  <c r="N95" i="18" s="1"/>
  <c r="O95" i="18" s="1"/>
  <c r="P95" i="18" s="1"/>
  <c r="L98" i="18"/>
  <c r="M98" i="18" s="1"/>
  <c r="N98" i="18" s="1"/>
  <c r="O98" i="18" s="1"/>
  <c r="P98" i="18" s="1"/>
  <c r="C98" i="18"/>
  <c r="C96" i="18"/>
  <c r="L93" i="18"/>
  <c r="L80" i="18" s="1"/>
  <c r="K81" i="18"/>
  <c r="L94" i="18"/>
  <c r="M94" i="18" s="1"/>
  <c r="C97" i="18"/>
  <c r="K80" i="18"/>
  <c r="C95" i="18"/>
  <c r="K83" i="18" l="1"/>
  <c r="K49" i="18" s="1"/>
  <c r="M93" i="18"/>
  <c r="N94" i="18"/>
  <c r="M81" i="18"/>
  <c r="L81" i="18"/>
  <c r="L83" i="18" s="1"/>
  <c r="K86" i="18" l="1"/>
  <c r="N93" i="18"/>
  <c r="M80" i="18"/>
  <c r="M83" i="18" s="1"/>
  <c r="M49" i="18" s="1"/>
  <c r="L49" i="18"/>
  <c r="L86" i="18"/>
  <c r="N81" i="18"/>
  <c r="O94" i="18"/>
  <c r="K50" i="18"/>
  <c r="K48" i="18" s="1"/>
  <c r="K47" i="18" s="1"/>
  <c r="K51" i="18" s="1"/>
  <c r="K9" i="18" s="1"/>
  <c r="K85" i="18"/>
  <c r="K84" i="18" s="1"/>
  <c r="C20" i="18" s="1"/>
  <c r="M86" i="18" l="1"/>
  <c r="M50" i="18" s="1"/>
  <c r="M48" i="18" s="1"/>
  <c r="O93" i="18"/>
  <c r="N80" i="18"/>
  <c r="N83" i="18" s="1"/>
  <c r="P94" i="18"/>
  <c r="P81" i="18" s="1"/>
  <c r="O81" i="18"/>
  <c r="L85" i="18"/>
  <c r="L84" i="18" s="1"/>
  <c r="L50" i="18"/>
  <c r="L48" i="18" s="1"/>
  <c r="L47" i="18" s="1"/>
  <c r="L51" i="18" s="1"/>
  <c r="L9" i="18" s="1"/>
  <c r="L11" i="18" s="1"/>
  <c r="M85" i="18" l="1"/>
  <c r="M84" i="18" s="1"/>
  <c r="N49" i="18"/>
  <c r="N86" i="18"/>
  <c r="N50" i="18" s="1"/>
  <c r="P93" i="18"/>
  <c r="P80" i="18" s="1"/>
  <c r="P83" i="18" s="1"/>
  <c r="P49" i="18" s="1"/>
  <c r="O80" i="18"/>
  <c r="O83" i="18" s="1"/>
  <c r="O49" i="18" s="1"/>
  <c r="M47" i="18"/>
  <c r="M51" i="18" s="1"/>
  <c r="M9" i="18" s="1"/>
  <c r="M11" i="18" s="1"/>
  <c r="O86" i="18" l="1"/>
  <c r="O85" i="18" s="1"/>
  <c r="O84" i="18" s="1"/>
  <c r="N85" i="18"/>
  <c r="N84" i="18" s="1"/>
  <c r="N48" i="18"/>
  <c r="N47" i="18" s="1"/>
  <c r="N51" i="18" s="1"/>
  <c r="N9" i="18" s="1"/>
  <c r="N11" i="18" s="1"/>
  <c r="P86" i="18"/>
  <c r="P50" i="18" s="1"/>
  <c r="P48" i="18" s="1"/>
  <c r="O50" i="18" l="1"/>
  <c r="O48" i="18" s="1"/>
  <c r="P47" i="18" s="1"/>
  <c r="P51" i="18" s="1"/>
  <c r="P9" i="18" s="1"/>
  <c r="O47" i="18"/>
  <c r="O51" i="18" s="1"/>
  <c r="O9" i="18" s="1"/>
  <c r="O11" i="18" s="1"/>
  <c r="P85" i="18"/>
  <c r="P84" i="18" s="1"/>
  <c r="P11" i="18" l="1"/>
  <c r="C14" i="18" s="1"/>
  <c r="N21" i="18" s="1"/>
  <c r="C17" i="18"/>
  <c r="C18" i="18" s="1"/>
  <c r="L19" i="18" l="1"/>
  <c r="O20" i="18"/>
  <c r="M19" i="18"/>
  <c r="P20" i="18"/>
  <c r="M18" i="18"/>
  <c r="C19" i="18"/>
  <c r="C23" i="18" s="1"/>
  <c r="C26" i="18" s="1"/>
  <c r="O17" i="18"/>
  <c r="M20" i="18"/>
  <c r="N19" i="18"/>
  <c r="L21" i="18"/>
  <c r="P19" i="18"/>
  <c r="P18" i="18"/>
  <c r="M17" i="18"/>
  <c r="L17" i="18"/>
  <c r="N18" i="18"/>
  <c r="L20" i="18"/>
  <c r="L18" i="18"/>
  <c r="P17" i="18"/>
  <c r="N17" i="18"/>
  <c r="P21" i="18"/>
  <c r="O19" i="18"/>
  <c r="O18" i="18"/>
  <c r="N20" i="18"/>
  <c r="M21" i="18"/>
  <c r="O21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tc={52BB1C52-45B9-40C9-949C-419F548667CB}</author>
    <author>tc={CBA9EAB4-1BC6-47E2-8347-A71A34786F68}</author>
    <author>tc={2B2858FE-56E2-40DA-B385-28CA44E0293A}</author>
    <author>tc={44A4AE54-C82C-4C81-B51C-272788AE6D46}</author>
    <author>tc={0B25010C-9EDC-41D8-BEBB-91FDB14FD9CB}</author>
    <author>tc={C08C51EA-577F-465D-BF58-7CD8B179DCB5}</author>
    <author>tc={04F2934A-9A34-424C-AE23-0EEEB45B4F7D}</author>
    <author>tc={7FE4AC78-094C-4299-9737-060C89DDC5BB}</author>
    <author>tc={1FE74748-DA61-4AB1-8903-9F17C8DBE1B6}</author>
    <author>tc={A0637F86-CD42-4103-A71B-D8DCF372B754}</author>
    <author>tc={A35780E8-1B56-4D91-AA51-568AA548AACA}</author>
    <author>tc={0DC10930-26B5-4532-9868-43CAF70DBACE}</author>
  </authors>
  <commentList>
    <comment ref="B15" authorId="0" shapeId="0" xr:uid="{52BB1C52-45B9-40C9-949C-419F548667C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https://www.focus-economics.com/country-indicator/japan/gdp/#:~:text=The%20economy%20of%20Japan%20recorded,real%20GDP%20growth%20was%201.0%25.</t>
      </text>
    </comment>
    <comment ref="E20" authorId="1" shapeId="0" xr:uid="{CBA9EAB4-1BC6-47E2-8347-A71A34786F6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https://www.cnbc.com/quotes/JP10Y-JP</t>
      </text>
    </comment>
    <comment ref="E21" authorId="2" shapeId="0" xr:uid="{2B2858FE-56E2-40DA-B385-28CA44E0293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Nikkei 225 (^N225) - Stock Analysis | PortfoliosLab </t>
      </text>
    </comment>
    <comment ref="E23" authorId="3" shapeId="0" xr:uid="{44A4AE54-C82C-4C81-B51C-272788AE6D4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https://finance.yahoo.com/quote/AMZN/key-statistics/</t>
      </text>
    </comment>
    <comment ref="B24" authorId="4" shapeId="0" xr:uid="{0B25010C-9EDC-41D8-BEBB-91FDB14FD9C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https://finance.yahoo.com/quote/9531.T/key-statistics/</t>
      </text>
    </comment>
    <comment ref="L32" authorId="5" shapeId="0" xr:uid="{C08C51EA-577F-465D-BF58-7CD8B179DCB5}">
      <text>
        <t>[Threaded comment]
Your version of Excel allows you to read this threaded comment; however, any edits to it will get removed if the file is opened in a newer version of Excel. Learn more: https://go.microsoft.com/fwlink/?linkid=870924
Comment:
    Avoid the outlier in 2023 to stay conservative</t>
      </text>
    </comment>
    <comment ref="C56" authorId="6" shapeId="0" xr:uid="{04F2934A-9A34-424C-AE23-0EEEB45B4F7D}">
      <text>
        <t>[Threaded comment]
Your version of Excel allows you to read this threaded comment; however, any edits to it will get removed if the file is opened in a newer version of Excel. Learn more: https://go.microsoft.com/fwlink/?linkid=870924
Comment:
    Stay conservative by taking 2014-2022 average excluding the outlier in 2023</t>
      </text>
    </comment>
    <comment ref="B67" authorId="7" shapeId="0" xr:uid="{7FE4AC78-094C-4299-9737-060C89DDC5BB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back depreciation deducted from the original BV</t>
      </text>
    </comment>
    <comment ref="B68" authorId="8" shapeId="0" xr:uid="{1FE74748-DA61-4AB1-8903-9F17C8DBE1B6}">
      <text>
        <t>[Threaded comment]
Your version of Excel allows you to read this threaded comment; however, any edits to it will get removed if the file is opened in a newer version of Excel. Learn more: https://go.microsoft.com/fwlink/?linkid=870924
Comment:
    CAPEX</t>
      </text>
    </comment>
    <comment ref="B93" authorId="9" shapeId="0" xr:uid="{A0637F86-CD42-4103-A71B-D8DCF372B754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days it takes for a company to collect payment on a sale</t>
      </text>
    </comment>
    <comment ref="B94" authorId="10" shapeId="0" xr:uid="{A35780E8-1B56-4D91-AA51-568AA548AACA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days it takes company to sell its inventory</t>
      </text>
    </comment>
    <comment ref="B105" authorId="11" shapeId="0" xr:uid="{0DC10930-26B5-4532-9868-43CAF70DBAC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https://www.macrotrends.net/2550/dollar-yen-exchange-rate-historical-chart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tc={D7773B2C-3BDA-4FC2-916C-AF8A7527AA8E}</author>
    <author>tc={DEF86B70-C283-42C3-9DCA-8C76DC8A7708}</author>
    <author>tc={F44AB189-7266-485F-B336-2751B1BDB3D0}</author>
    <author>tc={8430FD50-9C72-4CFB-B6B3-82D44B548E08}</author>
    <author>tc={9ADDE886-1DA8-4E27-AD8B-423FE0538609}</author>
    <author>tc={27786689-EE84-42CE-BDF1-6720F608452D}</author>
    <author>tc={BCE199D5-F392-4E0B-B3B3-8730D9401080}</author>
    <author>tc={DB3E5281-E62B-4D7E-90B8-3EF8E5B6C3FF}</author>
    <author>tc={5CC4BA44-D10C-4A7E-A7D7-2A3C82492F8E}</author>
  </authors>
  <commentList>
    <comment ref="B15" authorId="0" shapeId="0" xr:uid="{D7773B2C-3BDA-4FC2-916C-AF8A7527AA8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https://www.macrotrends.net/global-metrics/countries/USA/united-states/gdp-growth-rate#google_vignette</t>
      </text>
    </comment>
    <comment ref="E20" authorId="1" shapeId="0" xr:uid="{DEF86B70-C283-42C3-9DCA-8C76DC8A770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https://www.cnbc.com/quotes/US10Y</t>
      </text>
    </comment>
    <comment ref="E21" authorId="2" shapeId="0" xr:uid="{F44AB189-7266-485F-B336-2751B1BDB3D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https://static.fmgsuite.com/media/documents/bc618705-6161-4c00-be7f-c667c90c61b5.pdf</t>
      </text>
    </comment>
    <comment ref="E23" authorId="3" shapeId="0" xr:uid="{8430FD50-9C72-4CFB-B6B3-82D44B548E0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https://finance.yahoo.com/quote/AMZN/key-statistics/</t>
      </text>
    </comment>
    <comment ref="B67" authorId="4" shapeId="0" xr:uid="{9ADDE886-1DA8-4E27-AD8B-423FE0538609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back depreciation deducted from the original BV</t>
      </text>
    </comment>
    <comment ref="B68" authorId="5" shapeId="0" xr:uid="{27786689-EE84-42CE-BDF1-6720F608452D}">
      <text>
        <t>[Threaded comment]
Your version of Excel allows you to read this threaded comment; however, any edits to it will get removed if the file is opened in a newer version of Excel. Learn more: https://go.microsoft.com/fwlink/?linkid=870924
Comment:
    CAPEX</t>
      </text>
    </comment>
    <comment ref="B93" authorId="6" shapeId="0" xr:uid="{BCE199D5-F392-4E0B-B3B3-8730D9401080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days it takes for a company to collect payment on a sale</t>
      </text>
    </comment>
    <comment ref="B94" authorId="7" shapeId="0" xr:uid="{DB3E5281-E62B-4D7E-90B8-3EF8E5B6C3FF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days it takes company to sell its inventory</t>
      </text>
    </comment>
    <comment ref="B105" authorId="8" shapeId="0" xr:uid="{5CC4BA44-D10C-4A7E-A7D7-2A3C82492F8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https://www.macrotrends.net/2550/dollar-yen-exchange-rate-historical-chart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tc={41B62F7E-C071-4AD1-ADE6-324E04AC7EBF}</author>
    <author>tc={4B78511B-853F-4137-B806-8B80F042055B}</author>
    <author>tc={DBEE0C58-4A92-415F-B88B-C832E4631C82}</author>
    <author>tc={94602E20-8FA5-4BE1-B505-9AE01D422C1D}</author>
    <author>tc={CC8D8A4D-99A3-4404-BE27-C230ACE7BC59}</author>
    <author>tc={5DFCB5B5-0AEE-4851-81FD-7A551085D1BF}</author>
    <author>tc={91092907-7E29-4FE5-99D7-6858631089D8}</author>
    <author>tc={26816286-213F-4B6B-BF6A-851BBE3AFDE9}</author>
    <author>tc={A7D6C74A-392B-42F7-833C-86321F233BD7}</author>
  </authors>
  <commentList>
    <comment ref="B15" authorId="0" shapeId="0" xr:uid="{41B62F7E-C071-4AD1-ADE6-324E04AC7EB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https://www.macrotrends.net/global-metrics/countries/DEU/germany/gdp-growth-rate</t>
      </text>
    </comment>
    <comment ref="E20" authorId="1" shapeId="0" xr:uid="{4B78511B-853F-4137-B806-8B80F042055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https://www.wsj.com/market-data/quotes/bond/BX/TMBMKDE-10Y</t>
      </text>
    </comment>
    <comment ref="E21" authorId="2" shapeId="0" xr:uid="{DBEE0C58-4A92-415F-B88B-C832E4631C8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https://curvo.eu/backtest/en/market-index/dax?currency=eur</t>
      </text>
    </comment>
    <comment ref="E23" authorId="3" shapeId="0" xr:uid="{94602E20-8FA5-4BE1-B505-9AE01D422C1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https://finbox.com/DB:MTX/models/wacc/</t>
      </text>
    </comment>
    <comment ref="B67" authorId="4" shapeId="0" xr:uid="{CC8D8A4D-99A3-4404-BE27-C230ACE7BC59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back depreciation deducted from the original BV</t>
      </text>
    </comment>
    <comment ref="B68" authorId="5" shapeId="0" xr:uid="{5DFCB5B5-0AEE-4851-81FD-7A551085D1BF}">
      <text>
        <t>[Threaded comment]
Your version of Excel allows you to read this threaded comment; however, any edits to it will get removed if the file is opened in a newer version of Excel. Learn more: https://go.microsoft.com/fwlink/?linkid=870924
Comment:
    CAPEX</t>
      </text>
    </comment>
    <comment ref="B93" authorId="6" shapeId="0" xr:uid="{91092907-7E29-4FE5-99D7-6858631089D8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days it takes for a company to collect payment on a sale</t>
      </text>
    </comment>
    <comment ref="B94" authorId="7" shapeId="0" xr:uid="{26816286-213F-4B6B-BF6A-851BBE3AFDE9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days it takes company to sell its inventory</t>
      </text>
    </comment>
    <comment ref="B105" authorId="8" shapeId="0" xr:uid="{A7D6C74A-392B-42F7-833C-86321F233BD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https://www.macrotrends.net/2550/dollar-yen-exchange-rate-historical-chart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<sst xmlns="http://schemas.openxmlformats.org/spreadsheetml/2006/main" count="707" uniqueCount="335">
  <si>
    <t>Sensitivity Table</t>
  </si>
  <si>
    <t>Growth Rate</t>
  </si>
  <si>
    <t>WACC</t>
  </si>
  <si>
    <t>Annual Data</t>
  </si>
  <si>
    <t>Millions of US $ except per share data</t>
  </si>
  <si>
    <t>Gross Profit</t>
  </si>
  <si>
    <t>Other Operating Income Or Expenses</t>
  </si>
  <si>
    <t>Pre-Tax Income</t>
  </si>
  <si>
    <t>Income After Taxes</t>
  </si>
  <si>
    <t>Income From Continuous Operations</t>
  </si>
  <si>
    <t>Net Income</t>
  </si>
  <si>
    <t>Basic EPS</t>
  </si>
  <si>
    <t>Revenue</t>
  </si>
  <si>
    <t>Revenue</t>
    <phoneticPr fontId="2"/>
  </si>
  <si>
    <t>Research And Development Expenses</t>
  </si>
  <si>
    <t>Research And Development Expenses</t>
    <phoneticPr fontId="2"/>
  </si>
  <si>
    <t>Operating Expense</t>
    <phoneticPr fontId="2"/>
  </si>
  <si>
    <t>Total Non-Operating Income Expense</t>
    <phoneticPr fontId="2"/>
  </si>
  <si>
    <t>Income From Discontinued Operations</t>
    <phoneticPr fontId="2"/>
  </si>
  <si>
    <t>Net Income</t>
    <phoneticPr fontId="2"/>
  </si>
  <si>
    <t>EBITDA</t>
  </si>
  <si>
    <t>EBITDA</t>
    <phoneticPr fontId="2"/>
  </si>
  <si>
    <t>Basic Shares Outstanding</t>
  </si>
  <si>
    <t>Basic Shares Outstanding</t>
    <phoneticPr fontId="2"/>
  </si>
  <si>
    <t>EBIT</t>
  </si>
  <si>
    <t>EBIT</t>
    <phoneticPr fontId="2"/>
  </si>
  <si>
    <t>Other Income</t>
    <phoneticPr fontId="2"/>
  </si>
  <si>
    <t>Shares Outstanding</t>
  </si>
  <si>
    <t>Shares Outstanding</t>
    <phoneticPr fontId="2"/>
  </si>
  <si>
    <t>Basic EPS</t>
    <phoneticPr fontId="2"/>
  </si>
  <si>
    <t>EPS - Earnings Per Share</t>
  </si>
  <si>
    <t>EPS - Earnings Per Share</t>
    <phoneticPr fontId="2"/>
  </si>
  <si>
    <t>Total Assets</t>
  </si>
  <si>
    <t>Other Non-current Liabilities</t>
  </si>
  <si>
    <t>Total Liabilities</t>
  </si>
  <si>
    <t>Millions of US $ except per share deta</t>
  </si>
  <si>
    <t>Cash On Hand</t>
  </si>
  <si>
    <t>Goodwill And Intangible Assets</t>
  </si>
  <si>
    <t>Other Long-Term Assets</t>
  </si>
  <si>
    <t>Total Long-Term Assets</t>
  </si>
  <si>
    <t>Long Term Debt</t>
  </si>
  <si>
    <t>Total Long Term Liabilities</t>
  </si>
  <si>
    <t>Common Stock Net</t>
  </si>
  <si>
    <t>Retained Earnings (Accumulated Deficit)</t>
  </si>
  <si>
    <t>Comprehensive Income Other Share Holders Equity</t>
  </si>
  <si>
    <t>Total Liabilities And Share Holders Equi</t>
  </si>
  <si>
    <t>Other Share Holders Equity</t>
  </si>
  <si>
    <t>Other Share Holders Equity</t>
    <phoneticPr fontId="2"/>
  </si>
  <si>
    <t>Inventory</t>
  </si>
  <si>
    <t>Inventory</t>
    <phoneticPr fontId="2"/>
  </si>
  <si>
    <t>Pre-paid Expenses</t>
    <phoneticPr fontId="2"/>
  </si>
  <si>
    <t xml:space="preserve">Other Current Assets </t>
    <phoneticPr fontId="2"/>
  </si>
  <si>
    <t xml:space="preserve">Property, Plant, And Equipment </t>
    <phoneticPr fontId="2"/>
  </si>
  <si>
    <t>Long-Term Investnnents</t>
    <phoneticPr fontId="2"/>
  </si>
  <si>
    <t>Net Income/Loss</t>
  </si>
  <si>
    <t>Other Non-Cash Items</t>
  </si>
  <si>
    <t>Total Non-Cosh Items</t>
  </si>
  <si>
    <t>Change In Accounts Receivable</t>
  </si>
  <si>
    <t>Change In Inventories</t>
  </si>
  <si>
    <t>Change In Accounts Payable</t>
  </si>
  <si>
    <t>Change In Assets/Liabilities</t>
  </si>
  <si>
    <t>Total Change In Assets/Liabilities</t>
  </si>
  <si>
    <t>Cash Flow From Operating Activities</t>
  </si>
  <si>
    <t>Net Change In Long-Term Investments</t>
  </si>
  <si>
    <t>Cash Flow From Investing Activities</t>
  </si>
  <si>
    <t>Net Long-Term Debt</t>
  </si>
  <si>
    <t>Net Current Debt</t>
  </si>
  <si>
    <t>Net Total Equity Issued/Repurchased</t>
  </si>
  <si>
    <t>Net Cash Flow</t>
  </si>
  <si>
    <t>Stock-Based Compensation</t>
  </si>
  <si>
    <t>Common Stock Dividends Paid</t>
  </si>
  <si>
    <t>Millions of US $ except per share data</t>
    <phoneticPr fontId="2"/>
  </si>
  <si>
    <t xml:space="preserve">Net Change In Property, Plant, And Equipment </t>
    <phoneticPr fontId="2"/>
  </si>
  <si>
    <t>Net Change In Intangible Assets</t>
  </si>
  <si>
    <t>Net Change In Intangible Assets</t>
    <phoneticPr fontId="2"/>
  </si>
  <si>
    <t xml:space="preserve">Net Acquisitions/Divestitures </t>
    <phoneticPr fontId="2"/>
  </si>
  <si>
    <t>Net Change In Short-term Investments</t>
    <phoneticPr fontId="2"/>
  </si>
  <si>
    <t xml:space="preserve">Net Change In Investments - Total </t>
    <phoneticPr fontId="2"/>
  </si>
  <si>
    <t>Investing Activities - Other</t>
  </si>
  <si>
    <t>Investing Activities - Other</t>
    <phoneticPr fontId="2"/>
  </si>
  <si>
    <t>Debt Issuance/Retirement Net - Total</t>
  </si>
  <si>
    <t>Debt Issuance/Retirement Net - Total</t>
    <phoneticPr fontId="2"/>
  </si>
  <si>
    <t>Net Common Equity Issued/Repurchased</t>
  </si>
  <si>
    <t>Net Common Equity Issued/Repurchased</t>
    <phoneticPr fontId="2"/>
  </si>
  <si>
    <t xml:space="preserve">Total Common And Preferred Stock Dividends Paid </t>
    <phoneticPr fontId="2"/>
  </si>
  <si>
    <t xml:space="preserve">Financial Activities - Other </t>
    <phoneticPr fontId="2"/>
  </si>
  <si>
    <t>Cash Flow From Financial Activities</t>
  </si>
  <si>
    <t>Cash Flow From Financial Activities</t>
    <phoneticPr fontId="2"/>
  </si>
  <si>
    <t>CONSOLIDATED STATEMENTS OF INCOME (Five-Year)</t>
  </si>
  <si>
    <t>(Unit: million yen)</t>
  </si>
  <si>
    <t>For the years ended March 31</t>
  </si>
  <si>
    <t>Gross profit</t>
  </si>
  <si>
    <t xml:space="preserve"> Supply and sales expenses</t>
  </si>
  <si>
    <t xml:space="preserve"> General and administrative expenses</t>
  </si>
  <si>
    <t>Non-operating income</t>
  </si>
  <si>
    <t xml:space="preserve"> Interest income</t>
  </si>
  <si>
    <t xml:space="preserve"> Dividends income</t>
  </si>
  <si>
    <t xml:space="preserve"> Rent income</t>
  </si>
  <si>
    <t>-</t>
  </si>
  <si>
    <t xml:space="preserve"> Share of profit of entities accounted for using equity method</t>
  </si>
  <si>
    <t xml:space="preserve"> Foreign exchange gains</t>
  </si>
  <si>
    <t xml:space="preserve"> Miscellaneous income</t>
  </si>
  <si>
    <t>Non-Operating expenses</t>
  </si>
  <si>
    <t xml:space="preserve"> Interest expenses</t>
  </si>
  <si>
    <t xml:space="preserve"> Miscellaneous expenses</t>
  </si>
  <si>
    <t>Ordinary profit</t>
  </si>
  <si>
    <t>Extraordinary income</t>
  </si>
  <si>
    <t>Extraordinary loss</t>
  </si>
  <si>
    <t>Profit before income taxes</t>
  </si>
  <si>
    <t xml:space="preserve"> Income taxes  current</t>
  </si>
  <si>
    <t xml:space="preserve"> Income taxes  deferred</t>
  </si>
  <si>
    <t xml:space="preserve"> Profit (loss) attributable to non-controlling of interests</t>
  </si>
  <si>
    <t>Profit attributable owners of parent</t>
  </si>
  <si>
    <t xml:space="preserve">  Gain on derivatives </t>
  </si>
  <si>
    <t xml:space="preserve">  Share of loss of entities accounted for using equity  method</t>
  </si>
  <si>
    <t>　Foreign exchange loss</t>
  </si>
  <si>
    <t xml:space="preserve">  Loss on derivatives </t>
  </si>
  <si>
    <t>CONSOLIDATED BALANCE SHEETS (Five-Year)</t>
  </si>
  <si>
    <t>As of March 31</t>
  </si>
  <si>
    <t>ASSETS</t>
  </si>
  <si>
    <t>Non-current assets</t>
  </si>
  <si>
    <t>Intangible assets</t>
  </si>
  <si>
    <t>Investments and other assets</t>
  </si>
  <si>
    <t>Total assets</t>
  </si>
  <si>
    <t>Liabilities</t>
  </si>
  <si>
    <t>Non-current liabilities</t>
  </si>
  <si>
    <t>Net Assets</t>
  </si>
  <si>
    <t>Shareholders' equity</t>
  </si>
  <si>
    <t>Capital stock</t>
  </si>
  <si>
    <t>Capital surplus</t>
  </si>
  <si>
    <t>Retained earnings</t>
  </si>
  <si>
    <t>Treasury shares</t>
  </si>
  <si>
    <t>Accumulated other comprehensive income</t>
  </si>
  <si>
    <t>Valuation difference on available-for-sale securities</t>
  </si>
  <si>
    <t>Defferred gains or losses on hedges</t>
  </si>
  <si>
    <t>Foreign currency translation adjustment</t>
  </si>
  <si>
    <t>Remeasurements of defined benefit plans</t>
  </si>
  <si>
    <t>Non-controlling interest</t>
  </si>
  <si>
    <t xml:space="preserve">Total net assets </t>
  </si>
  <si>
    <t>Total liabilities and net assets</t>
  </si>
  <si>
    <t>CONSOLIDATED STATEMENTS OF CASH FLOWS (Five-Year)</t>
  </si>
  <si>
    <t>For the years ended march 31</t>
  </si>
  <si>
    <t xml:space="preserve">1.Cash flows from operating activities </t>
  </si>
  <si>
    <t xml:space="preserve">  Profit before income taxes </t>
  </si>
  <si>
    <t xml:space="preserve">  Amortization of long-term prepaid expenses </t>
  </si>
  <si>
    <t xml:space="preserve">  Loss on retirement of property, plant and equipment </t>
  </si>
  <si>
    <t xml:space="preserve">  Interest and dividend income </t>
  </si>
  <si>
    <t xml:space="preserve">  Interest expenses </t>
  </si>
  <si>
    <t xml:space="preserve">  Decrease (increase) in trade receivables </t>
  </si>
  <si>
    <t xml:space="preserve">  Decrease (increase) in inventories </t>
  </si>
  <si>
    <t xml:space="preserve">  Increase (decrease) in trade payables </t>
  </si>
  <si>
    <t xml:space="preserve">  Increase (decrease) in accrued consumption taxes </t>
  </si>
  <si>
    <t xml:space="preserve">  Other, net </t>
  </si>
  <si>
    <t xml:space="preserve">Subtotal </t>
  </si>
  <si>
    <t xml:space="preserve">  Interest and dividends received </t>
  </si>
  <si>
    <t xml:space="preserve">  Interest paid </t>
  </si>
  <si>
    <t xml:space="preserve">  Income taxes paid </t>
  </si>
  <si>
    <t xml:space="preserve"> Net cash provided by (used in) operating activities </t>
  </si>
  <si>
    <t xml:space="preserve">2.Cash flows from investing activities </t>
  </si>
  <si>
    <t xml:space="preserve">  Purchase of investment securities </t>
  </si>
  <si>
    <t xml:space="preserve">  Purchase of property, plant and equipment </t>
  </si>
  <si>
    <t xml:space="preserve">  Purchase of intangible assets </t>
  </si>
  <si>
    <t xml:space="preserve">  Purchase of long-term prepaid expenses </t>
  </si>
  <si>
    <t xml:space="preserve">  Proceeds from sale of non-current assets </t>
  </si>
  <si>
    <t xml:space="preserve"> Cash flows from investing activities </t>
  </si>
  <si>
    <t xml:space="preserve">3.Cash flows from financing activities </t>
  </si>
  <si>
    <t xml:space="preserve">  Net increase (decrease) in short-term borrowings </t>
  </si>
  <si>
    <t xml:space="preserve">  Proceeds from long-term borrowings </t>
  </si>
  <si>
    <t xml:space="preserve">  Repayments of long-term borrowings </t>
  </si>
  <si>
    <t xml:space="preserve">  Proceeds from issuance of bonds </t>
  </si>
  <si>
    <t xml:space="preserve">  Payments for redemption of bonds</t>
  </si>
  <si>
    <t xml:space="preserve">  Dividends paid </t>
  </si>
  <si>
    <t xml:space="preserve">  Purchase of treasury shares </t>
  </si>
  <si>
    <t xml:space="preserve"> Net cash provided by (used in) financing activities </t>
  </si>
  <si>
    <t xml:space="preserve">4.Effect of exchange rate change on cash and cash equivalents </t>
  </si>
  <si>
    <t xml:space="preserve">5.Net increase (decrease) in cash and cash equivalents </t>
  </si>
  <si>
    <t xml:space="preserve">6.Cash and cash equivalents at beginning of period </t>
  </si>
  <si>
    <t xml:space="preserve">Increase (decrease) in cash and cash equivalents resulting from change in scope of consolidation </t>
  </si>
  <si>
    <t xml:space="preserve">7.Cash and cash equivalents at end of period </t>
  </si>
  <si>
    <t>Some items in the accompanying financial statements have been summarized to preserve simplicity. Such changes are unaudited.</t>
  </si>
  <si>
    <t>*Different from the amount of cash dividends paid on a fiscal year accounting basis.</t>
  </si>
  <si>
    <t>Operating Expenses</t>
  </si>
  <si>
    <t>Income Taxes</t>
  </si>
  <si>
    <t xml:space="preserve">Income After Taxes </t>
    <phoneticPr fontId="2"/>
  </si>
  <si>
    <t xml:space="preserve">Income From Continuous Operations </t>
    <phoneticPr fontId="2"/>
  </si>
  <si>
    <t>Pre-Paid Expenses</t>
  </si>
  <si>
    <t>Other Current Assets</t>
  </si>
  <si>
    <t>Long-Term Investments</t>
  </si>
  <si>
    <t>Other Non-Current Liabilities</t>
  </si>
  <si>
    <t>Comprehensive Income</t>
  </si>
  <si>
    <t>Total Liabilities And Share Holders Equity</t>
  </si>
  <si>
    <t>Total Change In Assets/l_iabilities</t>
  </si>
  <si>
    <t>Net Acquisitions/Divestitures</t>
  </si>
  <si>
    <t>Net Change In Investments - Total</t>
  </si>
  <si>
    <t>Total Common And Preferred Stock Dividends Paid</t>
  </si>
  <si>
    <t>Financial Activities - Other</t>
  </si>
  <si>
    <t xml:space="preserve">Total Non-Cash Items </t>
    <phoneticPr fontId="2"/>
  </si>
  <si>
    <t xml:space="preserve">Change In Accounts Receivable </t>
    <phoneticPr fontId="2"/>
  </si>
  <si>
    <t>Change In Inventories</t>
    <phoneticPr fontId="2"/>
  </si>
  <si>
    <t>Change In Accounts Payable</t>
    <phoneticPr fontId="2"/>
  </si>
  <si>
    <t>Change In Assets/Liabilities</t>
    <phoneticPr fontId="2"/>
  </si>
  <si>
    <t xml:space="preserve">Net Change In Short-term Investments </t>
    <phoneticPr fontId="2"/>
  </si>
  <si>
    <t>Net Change In Long-Term Investments</t>
    <phoneticPr fontId="2"/>
  </si>
  <si>
    <t>Common Stock Dividends Paid</t>
    <phoneticPr fontId="2"/>
  </si>
  <si>
    <t xml:space="preserve">Stock-Based Compensation </t>
    <phoneticPr fontId="2"/>
  </si>
  <si>
    <t>Unlevered Free Cash Flow (mm)</t>
  </si>
  <si>
    <t>Fiscal Year</t>
  </si>
  <si>
    <t>COGS</t>
  </si>
  <si>
    <t>Depreciation &amp; Amortization</t>
  </si>
  <si>
    <t>Operating Profit (EBIT)</t>
  </si>
  <si>
    <t>NOPAT (Net Operating Profit After Taxes)</t>
  </si>
  <si>
    <t>NWC</t>
  </si>
  <si>
    <t>Current Liabilitites</t>
  </si>
  <si>
    <t>Unlevered Free Cash Flow</t>
  </si>
  <si>
    <t>Assumptions</t>
  </si>
  <si>
    <t>Tax % of EBIT</t>
  </si>
  <si>
    <t>Fixed Assets Schedule</t>
  </si>
  <si>
    <t>D&amp;A</t>
  </si>
  <si>
    <t>Projection Year</t>
  </si>
  <si>
    <t>Present Value of Free Cash Flow</t>
  </si>
  <si>
    <t>Implied Share Price Calculation</t>
  </si>
  <si>
    <t>Sum of PV of FCF</t>
  </si>
  <si>
    <t>Terminal Value</t>
  </si>
  <si>
    <t>PV of Terminal Value</t>
  </si>
  <si>
    <t>Enterprise Value</t>
  </si>
  <si>
    <t>Equity Value</t>
  </si>
  <si>
    <t>Diluted Shares Outstanding (mm)</t>
  </si>
  <si>
    <t>Implied Share Price</t>
  </si>
  <si>
    <t>DCF</t>
    <phoneticPr fontId="2"/>
  </si>
  <si>
    <t>Net Working Capital</t>
  </si>
  <si>
    <t>Accounts Receivables</t>
  </si>
  <si>
    <t>Current Liabilities</t>
  </si>
  <si>
    <t>Days Sales Outstanding (DSO)</t>
  </si>
  <si>
    <t>WACC</t>
    <phoneticPr fontId="2"/>
  </si>
  <si>
    <t>Equity (mm)</t>
  </si>
  <si>
    <t>Debt (mm)</t>
  </si>
  <si>
    <t>Cost of Debt</t>
  </si>
  <si>
    <t>Tax Rate</t>
  </si>
  <si>
    <t>D/(D+E)</t>
  </si>
  <si>
    <t>After Tax Cost of Debt</t>
  </si>
  <si>
    <t>Risk Free Rate (10-Yr Treasury Yield)</t>
  </si>
  <si>
    <t>Expected Market Return</t>
  </si>
  <si>
    <t>Market Risk Premium</t>
  </si>
  <si>
    <t>Levered Beta</t>
  </si>
  <si>
    <t>E/(D+E)</t>
  </si>
  <si>
    <t>Cost of Equity</t>
  </si>
  <si>
    <t>1. Free Cash Flow</t>
    <phoneticPr fontId="2"/>
  </si>
  <si>
    <t>1.1. Fixed Assets</t>
    <phoneticPr fontId="2"/>
  </si>
  <si>
    <t>1.2. Net Working Capital</t>
    <phoneticPr fontId="2"/>
  </si>
  <si>
    <t>COGS</t>
    <phoneticPr fontId="2"/>
  </si>
  <si>
    <t>Selling, General, Administrative Expenses</t>
  </si>
  <si>
    <t>Selling, General, Administrative Expenses</t>
    <phoneticPr fontId="2"/>
  </si>
  <si>
    <t>Income Taxes</t>
    <phoneticPr fontId="2"/>
  </si>
  <si>
    <t xml:space="preserve">Property, Plant, And Equipment </t>
  </si>
  <si>
    <t xml:space="preserve">Lease receivables and investments in leases </t>
    <phoneticPr fontId="2"/>
  </si>
  <si>
    <t>Deferred tax assets</t>
    <phoneticPr fontId="2"/>
  </si>
  <si>
    <t xml:space="preserve">Merchandise and finished goods </t>
    <phoneticPr fontId="2"/>
  </si>
  <si>
    <t xml:space="preserve">Work in process </t>
    <phoneticPr fontId="2"/>
  </si>
  <si>
    <t xml:space="preserve">Raw materials and supplies </t>
    <phoneticPr fontId="2"/>
  </si>
  <si>
    <t xml:space="preserve">Other current assets </t>
    <phoneticPr fontId="2"/>
  </si>
  <si>
    <t xml:space="preserve">Allowance for doubtful accounts </t>
    <phoneticPr fontId="2"/>
  </si>
  <si>
    <t>Production facilities</t>
    <phoneticPr fontId="2"/>
  </si>
  <si>
    <t>Distribution facilities</t>
    <phoneticPr fontId="2"/>
  </si>
  <si>
    <t>Service and maintenance facilities</t>
    <phoneticPr fontId="2"/>
  </si>
  <si>
    <t>Other facilities</t>
    <phoneticPr fontId="2"/>
  </si>
  <si>
    <t xml:space="preserve">Buildings and structures, net </t>
    <phoneticPr fontId="2"/>
  </si>
  <si>
    <t xml:space="preserve">Machinery, equipment and vehicles, net </t>
    <phoneticPr fontId="2"/>
  </si>
  <si>
    <t xml:space="preserve">Tools, furniture and fixtures, net </t>
    <phoneticPr fontId="2"/>
  </si>
  <si>
    <t xml:space="preserve">Land </t>
    <phoneticPr fontId="2"/>
  </si>
  <si>
    <t xml:space="preserve">Leased assets, net </t>
    <phoneticPr fontId="2"/>
  </si>
  <si>
    <t>Construction in progress</t>
    <phoneticPr fontId="2"/>
  </si>
  <si>
    <t>Investment securities</t>
    <phoneticPr fontId="2"/>
  </si>
  <si>
    <t>Long-term loans receivable</t>
    <phoneticPr fontId="2"/>
  </si>
  <si>
    <t>Retirement benefit asset</t>
    <phoneticPr fontId="2"/>
  </si>
  <si>
    <t>Other</t>
    <phoneticPr fontId="2"/>
  </si>
  <si>
    <t>Allowance for doubtful accounts</t>
    <phoneticPr fontId="2"/>
  </si>
  <si>
    <t>Bonds payable</t>
    <phoneticPr fontId="2"/>
  </si>
  <si>
    <t>Long-term loans payable</t>
    <phoneticPr fontId="2"/>
  </si>
  <si>
    <t>Net difined benefit liabilities</t>
    <phoneticPr fontId="2"/>
  </si>
  <si>
    <t>Current portion of non-current liabilities</t>
    <phoneticPr fontId="2"/>
  </si>
  <si>
    <t xml:space="preserve">Current portion of bonds payable </t>
    <phoneticPr fontId="2"/>
  </si>
  <si>
    <t>Notes and accounts payable - trade</t>
    <phoneticPr fontId="2"/>
  </si>
  <si>
    <t>Short-term loans payable</t>
    <phoneticPr fontId="2"/>
  </si>
  <si>
    <t>Income taxes patyable</t>
    <phoneticPr fontId="2"/>
  </si>
  <si>
    <t>Total liabilities</t>
    <phoneticPr fontId="2"/>
  </si>
  <si>
    <t xml:space="preserve">Current Assets </t>
  </si>
  <si>
    <t xml:space="preserve">Current Assets </t>
    <phoneticPr fontId="2"/>
  </si>
  <si>
    <t>Non-cash Current Assets</t>
    <phoneticPr fontId="2"/>
  </si>
  <si>
    <t>Days Inventory Outstanding (DIO)</t>
    <phoneticPr fontId="2"/>
  </si>
  <si>
    <t>Liability to Sales Ratio                                 sd:</t>
    <phoneticPr fontId="2"/>
  </si>
  <si>
    <t>Current Ratio                                                 sd:</t>
    <phoneticPr fontId="2"/>
  </si>
  <si>
    <t>Asset to Sales                                                sd:</t>
    <phoneticPr fontId="2"/>
  </si>
  <si>
    <t>Weight</t>
    <phoneticPr fontId="2"/>
  </si>
  <si>
    <t>Other Operating Expense % of Revenue</t>
    <phoneticPr fontId="2"/>
  </si>
  <si>
    <t>(Non-Cash) Current Ratio                           sd:</t>
    <phoneticPr fontId="2"/>
  </si>
  <si>
    <t>Operating Expense</t>
  </si>
  <si>
    <t xml:space="preserve">Net Change In Property, Plant, And Equipment </t>
  </si>
  <si>
    <t>Non-Cash Current Assets</t>
    <phoneticPr fontId="2"/>
  </si>
  <si>
    <t>Plus: Depreciation &amp; Amortization</t>
    <phoneticPr fontId="2"/>
  </si>
  <si>
    <t>Minus: Capital Expenditures</t>
    <phoneticPr fontId="2"/>
  </si>
  <si>
    <t>Minus: Change in NWC</t>
    <phoneticPr fontId="2"/>
  </si>
  <si>
    <t>Total Non-Operating Income Expense</t>
  </si>
  <si>
    <t>Plus: Cash</t>
    <phoneticPr fontId="2"/>
  </si>
  <si>
    <t>Minus: Debt</t>
    <phoneticPr fontId="2"/>
  </si>
  <si>
    <t>Minus: Minority Interest</t>
    <phoneticPr fontId="2"/>
  </si>
  <si>
    <t>D&amp;A as a % of Revenue</t>
    <phoneticPr fontId="2"/>
  </si>
  <si>
    <t>CapEx as a % of Revenue</t>
    <phoneticPr fontId="2"/>
  </si>
  <si>
    <t>COGS % of Revenue                                           trend:</t>
    <phoneticPr fontId="2"/>
  </si>
  <si>
    <t>Revenue Growth                                                 trend:</t>
    <phoneticPr fontId="2"/>
  </si>
  <si>
    <t>R&amp;D % of Revenue                                             trend:</t>
    <phoneticPr fontId="2"/>
  </si>
  <si>
    <t>SG&amp;A % of Revenue                                           trend:</t>
    <phoneticPr fontId="2"/>
  </si>
  <si>
    <t>Risk Free Rate (10-Yr Treasury Yield)</t>
    <phoneticPr fontId="2"/>
  </si>
  <si>
    <t xml:space="preserve"> </t>
    <phoneticPr fontId="2"/>
  </si>
  <si>
    <t>Supplimental: 10 years revenue</t>
    <phoneticPr fontId="2"/>
  </si>
  <si>
    <t>Debt (mm)</t>
    <phoneticPr fontId="2"/>
  </si>
  <si>
    <t>Long Term Debt</t>
    <phoneticPr fontId="2"/>
  </si>
  <si>
    <t>estimated</t>
    <phoneticPr fontId="2"/>
  </si>
  <si>
    <t>Ticker</t>
    <phoneticPr fontId="2"/>
  </si>
  <si>
    <t>Date of Update</t>
    <phoneticPr fontId="2"/>
  </si>
  <si>
    <t>Currency</t>
    <phoneticPr fontId="2"/>
  </si>
  <si>
    <t>AMZN</t>
    <phoneticPr fontId="2"/>
  </si>
  <si>
    <t>TKGSY</t>
    <phoneticPr fontId="2"/>
  </si>
  <si>
    <t>JPY</t>
    <phoneticPr fontId="2"/>
  </si>
  <si>
    <t>USD</t>
  </si>
  <si>
    <t>USD</t>
    <phoneticPr fontId="2"/>
  </si>
  <si>
    <t>MTX</t>
  </si>
  <si>
    <t>MTX</t>
    <phoneticPr fontId="2"/>
  </si>
  <si>
    <t>TokyoGas</t>
    <phoneticPr fontId="2"/>
  </si>
  <si>
    <t>Amazon</t>
    <phoneticPr fontId="2"/>
  </si>
  <si>
    <t>MTU</t>
    <phoneticPr fontId="2"/>
  </si>
  <si>
    <t>Trading Share Price as of 2024/3/24 :</t>
  </si>
  <si>
    <t>2. FX</t>
    <phoneticPr fontId="2"/>
  </si>
  <si>
    <t>Exchange Rate</t>
    <phoneticPr fontId="2"/>
  </si>
  <si>
    <t>Dollar Yen Exchange Rate (USD JPY) </t>
  </si>
  <si>
    <t>Yen Dollar Exchange Rate (JPY USD) 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</si>
</sst>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24" formatCode="\$#,##0_);[Red]\(\$#,##0\)"/>
    <numFmt numFmtId="26" formatCode="\$#,##0.00_);[Red]\(\$#,##0.00\)"/>
    <numFmt numFmtId="176" formatCode="yyyy\A"/>
    <numFmt numFmtId="177" formatCode="yyyy\E"/>
    <numFmt numFmtId="178" formatCode="0.0%"/>
    <numFmt numFmtId="179" formatCode="0.0"/>
    <numFmt numFmtId="189" formatCode="0_);[Red]\(0\)"/>
    <numFmt numFmtId="190" formatCode="#,##0.000;[Red]\-#,##0.000"/>
  </numFmts>
  <fonts count="16">
    <font>
      <sz val="11"/>
      <color theme="1"/>
      <name val="游ゴシック"/>
      <family val="2"/>
      <charset val="128"/>
      <scheme val="minor"/>
    </font>
    <font>
      <sz val="11"/>
      <color theme="1"/>
      <name val="Calibri"/>
      <family val="2"/>
    </font>
    <font>
      <sz val="6"/>
      <name val="游ゴシック"/>
      <family val="2"/>
      <charset val="128"/>
      <scheme val="minor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name val="Calibri"/>
      <family val="2"/>
    </font>
    <font>
      <sz val="11"/>
      <color theme="1"/>
      <name val="游ゴシック"/>
      <family val="2"/>
      <charset val="128"/>
      <scheme val="minor"/>
    </font>
    <font>
      <b/>
      <sz val="20"/>
      <color theme="1"/>
      <name val="Calibri"/>
      <family val="2"/>
    </font>
    <font>
      <sz val="11"/>
      <color rgb="FF0000FF"/>
      <name val="Calibri"/>
      <family val="2"/>
    </font>
    <font>
      <sz val="20"/>
      <color theme="1"/>
      <name val="Calibri"/>
      <family val="2"/>
    </font>
    <font>
      <sz val="11"/>
      <color theme="0" tint="-0.14999847407452621"/>
      <name val="Calibri"/>
      <family val="2"/>
    </font>
    <font>
      <sz val="9"/>
      <color indexed="81"/>
      <name val="Tahoma"/>
      <family val="2"/>
    </font>
    <font>
      <sz val="11"/>
      <color theme="0" tint="-0.34998626667073579"/>
      <name val="Calibri"/>
      <family val="2"/>
    </font>
    <font>
      <sz val="11"/>
      <color theme="0" tint="-4.9989318521683403E-2"/>
      <name val="Calibri"/>
      <family val="2"/>
    </font>
    <font>
      <b/>
      <sz val="11"/>
      <name val="Calibri"/>
      <family val="2"/>
    </font>
    <font>
      <sz val="14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FFE7"/>
        <bgColor indexed="64"/>
      </patternFill>
    </fill>
    <fill>
      <patternFill patternType="solid">
        <fgColor rgb="FFEFFBF1"/>
        <bgColor indexed="64"/>
      </patternFill>
    </fill>
    <fill>
      <patternFill patternType="solid">
        <fgColor theme="0" tint="-0.14999847407452621"/>
        <bgColor rgb="FFD9E2F3"/>
      </patternFill>
    </fill>
    <fill>
      <patternFill patternType="solid">
        <fgColor theme="1" tint="0.249977111117893"/>
        <bgColor rgb="FF2A3E68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rgb="FFFFFF99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20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6" xfId="0" applyFont="1" applyBorder="1">
      <alignment vertical="center"/>
    </xf>
    <xf numFmtId="0" fontId="5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24" fontId="1" fillId="0" borderId="0" xfId="0" applyNumberFormat="1" applyFont="1">
      <alignment vertical="center"/>
    </xf>
    <xf numFmtId="0" fontId="1" fillId="3" borderId="0" xfId="0" applyFont="1" applyFill="1">
      <alignment vertical="center"/>
    </xf>
    <xf numFmtId="14" fontId="1" fillId="3" borderId="0" xfId="0" applyNumberFormat="1" applyFont="1" applyFill="1">
      <alignment vertical="center"/>
    </xf>
    <xf numFmtId="0" fontId="1" fillId="0" borderId="0" xfId="0" applyFont="1" applyAlignment="1">
      <alignment horizontal="left" vertical="center" indent="1"/>
    </xf>
    <xf numFmtId="26" fontId="1" fillId="0" borderId="0" xfId="0" applyNumberFormat="1" applyFont="1">
      <alignment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>
      <alignment vertical="center"/>
    </xf>
    <xf numFmtId="0" fontId="1" fillId="0" borderId="0" xfId="0" applyFont="1" applyAlignment="1">
      <alignment horizontal="left" vertical="center" indent="2"/>
    </xf>
    <xf numFmtId="0" fontId="1" fillId="3" borderId="0" xfId="0" applyFont="1" applyFill="1" applyAlignment="1">
      <alignment horizontal="left" vertical="center"/>
    </xf>
    <xf numFmtId="26" fontId="1" fillId="3" borderId="0" xfId="0" applyNumberFormat="1" applyFont="1" applyFill="1">
      <alignment vertical="center"/>
    </xf>
    <xf numFmtId="26" fontId="1" fillId="0" borderId="0" xfId="0" applyNumberFormat="1" applyFont="1" applyAlignment="1">
      <alignment horizontal="left" vertical="center" indent="2"/>
    </xf>
    <xf numFmtId="26" fontId="1" fillId="0" borderId="0" xfId="0" applyNumberFormat="1" applyFont="1" applyAlignment="1">
      <alignment horizontal="left" vertical="center" indent="1"/>
    </xf>
    <xf numFmtId="0" fontId="1" fillId="0" borderId="0" xfId="0" applyFont="1" applyAlignment="1">
      <alignment horizontal="left"/>
    </xf>
    <xf numFmtId="0" fontId="7" fillId="0" borderId="0" xfId="0" applyFont="1">
      <alignment vertical="center"/>
    </xf>
    <xf numFmtId="3" fontId="1" fillId="0" borderId="0" xfId="0" applyNumberFormat="1" applyFont="1" applyAlignment="1"/>
    <xf numFmtId="178" fontId="1" fillId="0" borderId="0" xfId="0" applyNumberFormat="1" applyFont="1" applyAlignment="1"/>
    <xf numFmtId="4" fontId="3" fillId="0" borderId="0" xfId="0" applyNumberFormat="1" applyFont="1" applyAlignment="1"/>
    <xf numFmtId="0" fontId="1" fillId="0" borderId="1" xfId="0" applyFont="1" applyBorder="1" applyAlignment="1"/>
    <xf numFmtId="0" fontId="3" fillId="0" borderId="0" xfId="0" applyFont="1" applyAlignment="1"/>
    <xf numFmtId="0" fontId="1" fillId="0" borderId="1" xfId="0" applyFont="1" applyBorder="1" applyAlignment="1">
      <alignment horizontal="left"/>
    </xf>
    <xf numFmtId="0" fontId="3" fillId="4" borderId="9" xfId="0" applyFont="1" applyFill="1" applyBorder="1" applyAlignment="1"/>
    <xf numFmtId="0" fontId="1" fillId="0" borderId="6" xfId="0" applyFont="1" applyBorder="1" applyAlignment="1"/>
    <xf numFmtId="0" fontId="1" fillId="0" borderId="8" xfId="0" applyFont="1" applyBorder="1" applyAlignment="1"/>
    <xf numFmtId="0" fontId="3" fillId="0" borderId="6" xfId="0" applyFont="1" applyBorder="1" applyAlignment="1"/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3" fillId="4" borderId="10" xfId="0" applyFont="1" applyFill="1" applyBorder="1" applyAlignment="1"/>
    <xf numFmtId="178" fontId="1" fillId="0" borderId="1" xfId="0" applyNumberFormat="1" applyFont="1" applyBorder="1" applyAlignment="1"/>
    <xf numFmtId="3" fontId="1" fillId="0" borderId="1" xfId="0" applyNumberFormat="1" applyFont="1" applyBorder="1" applyAlignment="1"/>
    <xf numFmtId="0" fontId="3" fillId="0" borderId="9" xfId="0" applyFont="1" applyBorder="1" applyAlignment="1"/>
    <xf numFmtId="3" fontId="3" fillId="0" borderId="9" xfId="0" applyNumberFormat="1" applyFont="1" applyBorder="1" applyAlignment="1"/>
    <xf numFmtId="3" fontId="1" fillId="0" borderId="6" xfId="0" applyNumberFormat="1" applyFont="1" applyBorder="1" applyAlignment="1"/>
    <xf numFmtId="3" fontId="1" fillId="0" borderId="8" xfId="0" applyNumberFormat="1" applyFont="1" applyBorder="1" applyAlignment="1"/>
    <xf numFmtId="3" fontId="3" fillId="0" borderId="10" xfId="0" applyNumberFormat="1" applyFont="1" applyBorder="1" applyAlignment="1"/>
    <xf numFmtId="0" fontId="3" fillId="0" borderId="10" xfId="0" applyFont="1" applyBorder="1" applyAlignment="1"/>
    <xf numFmtId="179" fontId="1" fillId="0" borderId="0" xfId="0" applyNumberFormat="1" applyFont="1" applyAlignment="1"/>
    <xf numFmtId="0" fontId="1" fillId="0" borderId="9" xfId="0" applyFont="1" applyBorder="1" applyAlignment="1"/>
    <xf numFmtId="179" fontId="1" fillId="0" borderId="6" xfId="0" applyNumberFormat="1" applyFont="1" applyBorder="1" applyAlignment="1"/>
    <xf numFmtId="0" fontId="1" fillId="0" borderId="9" xfId="0" applyFont="1" applyBorder="1">
      <alignment vertical="center"/>
    </xf>
    <xf numFmtId="178" fontId="3" fillId="0" borderId="9" xfId="0" applyNumberFormat="1" applyFont="1" applyBorder="1" applyAlignment="1"/>
    <xf numFmtId="178" fontId="3" fillId="4" borderId="9" xfId="0" applyNumberFormat="1" applyFont="1" applyFill="1" applyBorder="1" applyAlignment="1"/>
    <xf numFmtId="0" fontId="9" fillId="0" borderId="0" xfId="0" applyFont="1" applyAlignment="1">
      <alignment horizontal="left" vertical="center"/>
    </xf>
    <xf numFmtId="38" fontId="1" fillId="0" borderId="0" xfId="1" applyFont="1" applyAlignment="1"/>
    <xf numFmtId="38" fontId="1" fillId="0" borderId="1" xfId="1" applyFont="1" applyBorder="1" applyAlignment="1"/>
    <xf numFmtId="38" fontId="3" fillId="0" borderId="0" xfId="1" applyFont="1" applyAlignment="1"/>
    <xf numFmtId="0" fontId="1" fillId="0" borderId="0" xfId="0" applyFont="1" applyAlignment="1">
      <alignment horizontal="left" indent="1"/>
    </xf>
    <xf numFmtId="0" fontId="10" fillId="0" borderId="0" xfId="0" applyFont="1">
      <alignment vertical="center"/>
    </xf>
    <xf numFmtId="178" fontId="1" fillId="0" borderId="8" xfId="0" applyNumberFormat="1" applyFont="1" applyBorder="1" applyAlignment="1"/>
    <xf numFmtId="9" fontId="1" fillId="0" borderId="0" xfId="2" applyFont="1" applyAlignment="1"/>
    <xf numFmtId="9" fontId="1" fillId="0" borderId="0" xfId="2" applyFont="1">
      <alignment vertical="center"/>
    </xf>
    <xf numFmtId="178" fontId="1" fillId="3" borderId="0" xfId="2" applyNumberFormat="1" applyFont="1" applyFill="1" applyAlignment="1"/>
    <xf numFmtId="178" fontId="1" fillId="0" borderId="0" xfId="2" applyNumberFormat="1" applyFont="1" applyAlignment="1"/>
    <xf numFmtId="178" fontId="1" fillId="0" borderId="1" xfId="2" applyNumberFormat="1" applyFont="1" applyBorder="1" applyAlignment="1"/>
    <xf numFmtId="176" fontId="1" fillId="0" borderId="6" xfId="0" applyNumberFormat="1" applyFont="1" applyBorder="1" applyAlignment="1"/>
    <xf numFmtId="38" fontId="1" fillId="0" borderId="0" xfId="1" applyFont="1" applyFill="1" applyBorder="1" applyAlignment="1"/>
    <xf numFmtId="3" fontId="1" fillId="0" borderId="10" xfId="0" applyNumberFormat="1" applyFont="1" applyBorder="1" applyAlignment="1"/>
    <xf numFmtId="0" fontId="3" fillId="0" borderId="1" xfId="0" applyFont="1" applyBorder="1" applyAlignment="1"/>
    <xf numFmtId="3" fontId="3" fillId="0" borderId="8" xfId="0" applyNumberFormat="1" applyFont="1" applyBorder="1" applyAlignment="1"/>
    <xf numFmtId="0" fontId="12" fillId="0" borderId="0" xfId="0" applyFont="1" applyAlignment="1"/>
    <xf numFmtId="178" fontId="12" fillId="3" borderId="0" xfId="0" applyNumberFormat="1" applyFont="1" applyFill="1" applyAlignment="1"/>
    <xf numFmtId="40" fontId="12" fillId="0" borderId="0" xfId="1" applyNumberFormat="1" applyFont="1" applyAlignment="1"/>
    <xf numFmtId="38" fontId="1" fillId="0" borderId="0" xfId="1" applyFont="1" applyAlignment="1">
      <alignment horizontal="right"/>
    </xf>
    <xf numFmtId="38" fontId="1" fillId="0" borderId="1" xfId="1" applyFont="1" applyBorder="1" applyAlignment="1">
      <alignment horizontal="right"/>
    </xf>
    <xf numFmtId="2" fontId="8" fillId="0" borderId="0" xfId="0" applyNumberFormat="1" applyFont="1" applyAlignment="1"/>
    <xf numFmtId="3" fontId="1" fillId="3" borderId="0" xfId="0" applyNumberFormat="1" applyFont="1" applyFill="1" applyAlignment="1"/>
    <xf numFmtId="0" fontId="1" fillId="3" borderId="0" xfId="0" applyFont="1" applyFill="1" applyAlignment="1"/>
    <xf numFmtId="0" fontId="1" fillId="3" borderId="1" xfId="0" applyFont="1" applyFill="1" applyBorder="1" applyAlignment="1"/>
    <xf numFmtId="0" fontId="3" fillId="3" borderId="9" xfId="0" applyFont="1" applyFill="1" applyBorder="1" applyAlignment="1"/>
    <xf numFmtId="0" fontId="3" fillId="3" borderId="0" xfId="0" applyFont="1" applyFill="1" applyAlignment="1"/>
    <xf numFmtId="0" fontId="12" fillId="3" borderId="0" xfId="0" applyFont="1" applyFill="1" applyAlignment="1"/>
    <xf numFmtId="3" fontId="1" fillId="3" borderId="1" xfId="0" applyNumberFormat="1" applyFont="1" applyFill="1" applyBorder="1" applyAlignment="1"/>
    <xf numFmtId="3" fontId="3" fillId="3" borderId="9" xfId="0" applyNumberFormat="1" applyFont="1" applyFill="1" applyBorder="1" applyAlignment="1"/>
    <xf numFmtId="178" fontId="1" fillId="3" borderId="1" xfId="0" applyNumberFormat="1" applyFont="1" applyFill="1" applyBorder="1" applyAlignment="1"/>
    <xf numFmtId="179" fontId="1" fillId="3" borderId="0" xfId="0" applyNumberFormat="1" applyFont="1" applyFill="1" applyAlignment="1"/>
    <xf numFmtId="178" fontId="1" fillId="3" borderId="0" xfId="2" applyNumberFormat="1" applyFont="1" applyFill="1" applyBorder="1" applyAlignment="1"/>
    <xf numFmtId="38" fontId="12" fillId="3" borderId="0" xfId="1" applyFont="1" applyFill="1" applyBorder="1" applyAlignment="1">
      <alignment horizontal="right"/>
    </xf>
    <xf numFmtId="38" fontId="12" fillId="3" borderId="1" xfId="1" applyFont="1" applyFill="1" applyBorder="1" applyAlignment="1">
      <alignment horizontal="right"/>
    </xf>
    <xf numFmtId="38" fontId="1" fillId="3" borderId="0" xfId="1" applyFont="1" applyFill="1" applyBorder="1" applyAlignment="1">
      <alignment horizontal="right"/>
    </xf>
    <xf numFmtId="38" fontId="3" fillId="4" borderId="9" xfId="1" applyFont="1" applyFill="1" applyBorder="1" applyAlignment="1"/>
    <xf numFmtId="38" fontId="1" fillId="0" borderId="0" xfId="0" applyNumberFormat="1" applyFont="1">
      <alignment vertical="center"/>
    </xf>
    <xf numFmtId="38" fontId="3" fillId="0" borderId="1" xfId="1" applyFont="1" applyBorder="1" applyAlignment="1"/>
    <xf numFmtId="38" fontId="1" fillId="0" borderId="9" xfId="1" applyFont="1" applyBorder="1" applyAlignment="1"/>
    <xf numFmtId="38" fontId="1" fillId="6" borderId="0" xfId="1" applyFont="1" applyFill="1" applyAlignment="1"/>
    <xf numFmtId="38" fontId="1" fillId="6" borderId="1" xfId="1" applyFont="1" applyFill="1" applyBorder="1" applyAlignment="1"/>
    <xf numFmtId="38" fontId="3" fillId="6" borderId="0" xfId="1" applyFont="1" applyFill="1" applyAlignment="1"/>
    <xf numFmtId="38" fontId="1" fillId="6" borderId="0" xfId="1" applyFont="1" applyFill="1" applyAlignment="1">
      <alignment horizontal="right"/>
    </xf>
    <xf numFmtId="178" fontId="1" fillId="6" borderId="0" xfId="0" applyNumberFormat="1" applyFont="1" applyFill="1" applyAlignment="1"/>
    <xf numFmtId="178" fontId="1" fillId="6" borderId="1" xfId="0" applyNumberFormat="1" applyFont="1" applyFill="1" applyBorder="1" applyAlignment="1"/>
    <xf numFmtId="3" fontId="1" fillId="6" borderId="0" xfId="0" applyNumberFormat="1" applyFont="1" applyFill="1" applyAlignment="1"/>
    <xf numFmtId="3" fontId="1" fillId="6" borderId="1" xfId="0" applyNumberFormat="1" applyFont="1" applyFill="1" applyBorder="1" applyAlignment="1"/>
    <xf numFmtId="38" fontId="3" fillId="6" borderId="1" xfId="1" applyFont="1" applyFill="1" applyBorder="1" applyAlignment="1"/>
    <xf numFmtId="38" fontId="1" fillId="6" borderId="9" xfId="1" applyFont="1" applyFill="1" applyBorder="1" applyAlignment="1"/>
    <xf numFmtId="3" fontId="3" fillId="6" borderId="9" xfId="0" applyNumberFormat="1" applyFont="1" applyFill="1" applyBorder="1" applyAlignment="1"/>
    <xf numFmtId="179" fontId="1" fillId="6" borderId="0" xfId="0" applyNumberFormat="1" applyFont="1" applyFill="1" applyAlignment="1"/>
    <xf numFmtId="178" fontId="1" fillId="6" borderId="0" xfId="2" applyNumberFormat="1" applyFont="1" applyFill="1" applyAlignment="1"/>
    <xf numFmtId="178" fontId="1" fillId="6" borderId="1" xfId="2" applyNumberFormat="1" applyFont="1" applyFill="1" applyBorder="1" applyAlignment="1"/>
    <xf numFmtId="0" fontId="1" fillId="7" borderId="1" xfId="0" applyFont="1" applyFill="1" applyBorder="1" applyAlignment="1"/>
    <xf numFmtId="176" fontId="1" fillId="7" borderId="8" xfId="0" applyNumberFormat="1" applyFont="1" applyFill="1" applyBorder="1" applyAlignment="1"/>
    <xf numFmtId="176" fontId="1" fillId="7" borderId="1" xfId="0" applyNumberFormat="1" applyFont="1" applyFill="1" applyBorder="1" applyAlignment="1"/>
    <xf numFmtId="176" fontId="1" fillId="7" borderId="9" xfId="0" applyNumberFormat="1" applyFont="1" applyFill="1" applyBorder="1" applyAlignment="1"/>
    <xf numFmtId="177" fontId="1" fillId="7" borderId="9" xfId="0" applyNumberFormat="1" applyFont="1" applyFill="1" applyBorder="1" applyAlignment="1"/>
    <xf numFmtId="0" fontId="1" fillId="7" borderId="9" xfId="0" applyFont="1" applyFill="1" applyBorder="1" applyAlignment="1"/>
    <xf numFmtId="176" fontId="1" fillId="7" borderId="10" xfId="0" applyNumberFormat="1" applyFont="1" applyFill="1" applyBorder="1" applyAlignment="1"/>
    <xf numFmtId="0" fontId="1" fillId="6" borderId="1" xfId="0" applyFont="1" applyFill="1" applyBorder="1" applyAlignment="1"/>
    <xf numFmtId="0" fontId="4" fillId="8" borderId="0" xfId="0" applyFont="1" applyFill="1" applyAlignment="1"/>
    <xf numFmtId="0" fontId="4" fillId="8" borderId="1" xfId="0" applyFont="1" applyFill="1" applyBorder="1" applyAlignment="1"/>
    <xf numFmtId="0" fontId="1" fillId="0" borderId="1" xfId="0" applyFont="1" applyBorder="1" applyAlignment="1">
      <alignment horizontal="left" indent="1"/>
    </xf>
    <xf numFmtId="0" fontId="3" fillId="10" borderId="9" xfId="0" applyFont="1" applyFill="1" applyBorder="1" applyAlignment="1"/>
    <xf numFmtId="3" fontId="13" fillId="0" borderId="0" xfId="0" applyNumberFormat="1" applyFont="1" applyAlignment="1"/>
    <xf numFmtId="9" fontId="13" fillId="0" borderId="0" xfId="0" applyNumberFormat="1" applyFont="1" applyAlignment="1"/>
    <xf numFmtId="178" fontId="13" fillId="0" borderId="0" xfId="0" applyNumberFormat="1" applyFont="1" applyAlignment="1"/>
    <xf numFmtId="0" fontId="4" fillId="8" borderId="0" xfId="0" applyFont="1" applyFill="1" applyAlignment="1">
      <alignment horizontal="center"/>
    </xf>
    <xf numFmtId="0" fontId="5" fillId="9" borderId="0" xfId="0" applyFont="1" applyFill="1" applyAlignment="1"/>
    <xf numFmtId="0" fontId="13" fillId="0" borderId="0" xfId="0" applyFont="1">
      <alignment vertical="center"/>
    </xf>
    <xf numFmtId="38" fontId="5" fillId="0" borderId="0" xfId="1" applyNumberFormat="1" applyFont="1" applyAlignment="1"/>
    <xf numFmtId="38" fontId="5" fillId="0" borderId="9" xfId="1" applyNumberFormat="1" applyFont="1" applyBorder="1" applyAlignment="1"/>
    <xf numFmtId="38" fontId="5" fillId="0" borderId="0" xfId="1" applyNumberFormat="1" applyFont="1">
      <alignment vertical="center"/>
    </xf>
    <xf numFmtId="38" fontId="14" fillId="4" borderId="9" xfId="1" applyNumberFormat="1" applyFont="1" applyFill="1" applyBorder="1" applyAlignment="1"/>
    <xf numFmtId="178" fontId="1" fillId="0" borderId="0" xfId="2" applyNumberFormat="1" applyFont="1">
      <alignment vertical="center"/>
    </xf>
    <xf numFmtId="0" fontId="1" fillId="0" borderId="0" xfId="0" applyFont="1" applyBorder="1" applyAlignment="1"/>
    <xf numFmtId="178" fontId="1" fillId="0" borderId="0" xfId="0" applyNumberFormat="1" applyFont="1" applyBorder="1" applyAlignment="1"/>
    <xf numFmtId="178" fontId="1" fillId="3" borderId="0" xfId="0" applyNumberFormat="1" applyFont="1" applyFill="1" applyBorder="1" applyAlignment="1"/>
    <xf numFmtId="178" fontId="1" fillId="6" borderId="0" xfId="0" applyNumberFormat="1" applyFont="1" applyFill="1" applyBorder="1" applyAlignment="1"/>
    <xf numFmtId="178" fontId="1" fillId="0" borderId="6" xfId="0" applyNumberFormat="1" applyFont="1" applyBorder="1" applyAlignment="1"/>
    <xf numFmtId="0" fontId="12" fillId="5" borderId="6" xfId="0" applyFont="1" applyFill="1" applyBorder="1" applyAlignment="1"/>
    <xf numFmtId="40" fontId="12" fillId="5" borderId="0" xfId="1" applyNumberFormat="1" applyFont="1" applyFill="1" applyAlignment="1"/>
    <xf numFmtId="178" fontId="12" fillId="5" borderId="6" xfId="2" applyNumberFormat="1" applyFont="1" applyFill="1" applyBorder="1" applyAlignment="1"/>
    <xf numFmtId="178" fontId="12" fillId="5" borderId="8" xfId="0" applyNumberFormat="1" applyFont="1" applyFill="1" applyBorder="1" applyAlignment="1"/>
    <xf numFmtId="38" fontId="5" fillId="0" borderId="1" xfId="1" applyNumberFormat="1" applyFont="1" applyFill="1" applyBorder="1" applyAlignment="1"/>
    <xf numFmtId="178" fontId="5" fillId="0" borderId="0" xfId="2" applyNumberFormat="1" applyFont="1" applyAlignment="1"/>
    <xf numFmtId="40" fontId="14" fillId="4" borderId="9" xfId="1" applyNumberFormat="1" applyFont="1" applyFill="1" applyBorder="1" applyAlignment="1"/>
    <xf numFmtId="0" fontId="4" fillId="8" borderId="3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10" fontId="1" fillId="7" borderId="6" xfId="0" applyNumberFormat="1" applyFont="1" applyFill="1" applyBorder="1" applyAlignment="1"/>
    <xf numFmtId="0" fontId="4" fillId="8" borderId="5" xfId="0" applyFont="1" applyFill="1" applyBorder="1" applyAlignment="1">
      <alignment horizontal="center" vertical="center" textRotation="90"/>
    </xf>
    <xf numFmtId="0" fontId="4" fillId="8" borderId="7" xfId="0" applyFont="1" applyFill="1" applyBorder="1" applyAlignment="1">
      <alignment horizontal="center" vertical="center" textRotation="90"/>
    </xf>
    <xf numFmtId="10" fontId="1" fillId="7" borderId="1" xfId="0" applyNumberFormat="1" applyFont="1" applyFill="1" applyBorder="1" applyAlignment="1"/>
    <xf numFmtId="0" fontId="4" fillId="8" borderId="2" xfId="0" applyFont="1" applyFill="1" applyBorder="1" applyAlignment="1">
      <alignment horizontal="center" vertical="center" textRotation="90"/>
    </xf>
    <xf numFmtId="10" fontId="1" fillId="7" borderId="4" xfId="0" applyNumberFormat="1" applyFont="1" applyFill="1" applyBorder="1" applyAlignment="1"/>
    <xf numFmtId="10" fontId="1" fillId="7" borderId="8" xfId="0" applyNumberFormat="1" applyFont="1" applyFill="1" applyBorder="1" applyAlignment="1"/>
    <xf numFmtId="0" fontId="4" fillId="8" borderId="2" xfId="0" applyFont="1" applyFill="1" applyBorder="1" applyAlignment="1">
      <alignment horizontal="center"/>
    </xf>
    <xf numFmtId="10" fontId="1" fillId="7" borderId="7" xfId="0" applyNumberFormat="1" applyFont="1" applyFill="1" applyBorder="1" applyAlignment="1"/>
    <xf numFmtId="0" fontId="3" fillId="6" borderId="9" xfId="0" applyFont="1" applyFill="1" applyBorder="1" applyAlignment="1"/>
    <xf numFmtId="40" fontId="12" fillId="3" borderId="0" xfId="1" applyNumberFormat="1" applyFont="1" applyFill="1" applyAlignment="1"/>
    <xf numFmtId="178" fontId="1" fillId="5" borderId="0" xfId="0" applyNumberFormat="1" applyFont="1" applyFill="1" applyAlignment="1"/>
    <xf numFmtId="38" fontId="1" fillId="3" borderId="2" xfId="1" applyFont="1" applyFill="1" applyBorder="1" applyAlignment="1"/>
    <xf numFmtId="38" fontId="1" fillId="3" borderId="3" xfId="1" applyFont="1" applyFill="1" applyBorder="1" applyAlignment="1"/>
    <xf numFmtId="38" fontId="1" fillId="3" borderId="4" xfId="1" applyFont="1" applyFill="1" applyBorder="1" applyAlignment="1"/>
    <xf numFmtId="38" fontId="1" fillId="7" borderId="0" xfId="1" applyFont="1" applyFill="1" applyBorder="1" applyAlignment="1"/>
    <xf numFmtId="38" fontId="1" fillId="3" borderId="6" xfId="1" applyFont="1" applyFill="1" applyBorder="1" applyAlignment="1"/>
    <xf numFmtId="38" fontId="1" fillId="3" borderId="1" xfId="1" applyFont="1" applyFill="1" applyBorder="1" applyAlignment="1"/>
    <xf numFmtId="38" fontId="1" fillId="3" borderId="8" xfId="1" applyFont="1" applyFill="1" applyBorder="1" applyAlignment="1"/>
    <xf numFmtId="0" fontId="1" fillId="5" borderId="0" xfId="0" applyFont="1" applyFill="1" applyAlignment="1"/>
    <xf numFmtId="178" fontId="5" fillId="5" borderId="0" xfId="2" applyNumberFormat="1" applyFont="1" applyFill="1" applyAlignment="1"/>
    <xf numFmtId="38" fontId="1" fillId="3" borderId="0" xfId="1" applyFont="1" applyFill="1" applyAlignment="1"/>
    <xf numFmtId="38" fontId="3" fillId="3" borderId="0" xfId="1" applyFont="1" applyFill="1" applyAlignment="1"/>
    <xf numFmtId="38" fontId="1" fillId="3" borderId="0" xfId="1" applyFont="1" applyFill="1" applyAlignment="1">
      <alignment horizontal="right"/>
    </xf>
    <xf numFmtId="38" fontId="1" fillId="3" borderId="1" xfId="1" applyFont="1" applyFill="1" applyBorder="1" applyAlignment="1">
      <alignment horizontal="right"/>
    </xf>
    <xf numFmtId="38" fontId="3" fillId="10" borderId="9" xfId="1" applyFont="1" applyFill="1" applyBorder="1" applyAlignment="1"/>
    <xf numFmtId="178" fontId="1" fillId="3" borderId="1" xfId="2" applyNumberFormat="1" applyFont="1" applyFill="1" applyBorder="1" applyAlignment="1"/>
    <xf numFmtId="178" fontId="12" fillId="11" borderId="6" xfId="2" applyNumberFormat="1" applyFont="1" applyFill="1" applyBorder="1" applyAlignment="1"/>
    <xf numFmtId="38" fontId="1" fillId="11" borderId="0" xfId="1" applyFont="1" applyFill="1" applyAlignment="1"/>
    <xf numFmtId="38" fontId="3" fillId="3" borderId="1" xfId="1" applyFont="1" applyFill="1" applyBorder="1" applyAlignment="1"/>
    <xf numFmtId="38" fontId="1" fillId="3" borderId="0" xfId="1" applyFont="1" applyFill="1" applyBorder="1" applyAlignment="1"/>
    <xf numFmtId="38" fontId="1" fillId="3" borderId="9" xfId="1" applyFont="1" applyFill="1" applyBorder="1" applyAlignment="1"/>
    <xf numFmtId="3" fontId="1" fillId="11" borderId="0" xfId="0" applyNumberFormat="1" applyFont="1" applyFill="1">
      <alignment vertical="center"/>
    </xf>
    <xf numFmtId="38" fontId="1" fillId="3" borderId="0" xfId="0" applyNumberFormat="1" applyFont="1" applyFill="1">
      <alignment vertical="center"/>
    </xf>
    <xf numFmtId="0" fontId="1" fillId="3" borderId="1" xfId="0" applyFont="1" applyFill="1" applyBorder="1">
      <alignment vertical="center"/>
    </xf>
    <xf numFmtId="3" fontId="1" fillId="11" borderId="0" xfId="0" applyNumberFormat="1" applyFont="1" applyFill="1" applyAlignment="1"/>
    <xf numFmtId="38" fontId="5" fillId="11" borderId="9" xfId="1" applyNumberFormat="1" applyFont="1" applyFill="1" applyBorder="1" applyAlignment="1"/>
    <xf numFmtId="178" fontId="1" fillId="11" borderId="0" xfId="2" applyNumberFormat="1" applyFont="1" applyFill="1" applyAlignment="1"/>
    <xf numFmtId="38" fontId="1" fillId="11" borderId="0" xfId="1" applyFont="1" applyFill="1" applyAlignment="1">
      <alignment horizontal="right"/>
    </xf>
    <xf numFmtId="38" fontId="1" fillId="11" borderId="0" xfId="1" applyFont="1" applyFill="1" applyBorder="1" applyAlignment="1">
      <alignment horizontal="right"/>
    </xf>
    <xf numFmtId="38" fontId="1" fillId="11" borderId="1" xfId="1" applyFont="1" applyFill="1" applyBorder="1" applyAlignment="1">
      <alignment horizontal="right"/>
    </xf>
    <xf numFmtId="0" fontId="15" fillId="0" borderId="0" xfId="0" applyFont="1">
      <alignment vertical="center"/>
    </xf>
    <xf numFmtId="0" fontId="15" fillId="2" borderId="0" xfId="0" applyFont="1" applyFill="1" applyAlignment="1">
      <alignment horizontal="right" vertical="center"/>
    </xf>
    <xf numFmtId="14" fontId="15" fillId="2" borderId="0" xfId="0" applyNumberFormat="1" applyFont="1" applyFill="1" applyAlignment="1">
      <alignment horizontal="right" vertical="center"/>
    </xf>
    <xf numFmtId="14" fontId="15" fillId="0" borderId="0" xfId="0" applyNumberFormat="1" applyFont="1" applyFill="1" applyAlignment="1">
      <alignment horizontal="right" vertical="center"/>
    </xf>
    <xf numFmtId="38" fontId="1" fillId="3" borderId="5" xfId="1" applyFont="1" applyFill="1" applyBorder="1" applyAlignment="1"/>
    <xf numFmtId="38" fontId="4" fillId="8" borderId="0" xfId="1" applyFont="1" applyFill="1" applyBorder="1" applyAlignment="1"/>
    <xf numFmtId="38" fontId="1" fillId="3" borderId="7" xfId="1" applyFont="1" applyFill="1" applyBorder="1" applyAlignment="1"/>
    <xf numFmtId="0" fontId="12" fillId="0" borderId="0" xfId="0" applyFont="1">
      <alignment vertical="center"/>
    </xf>
    <xf numFmtId="3" fontId="1" fillId="0" borderId="0" xfId="0" applyNumberFormat="1" applyFont="1" applyFill="1" applyAlignment="1"/>
    <xf numFmtId="0" fontId="1" fillId="0" borderId="1" xfId="0" applyFont="1" applyFill="1" applyBorder="1" applyAlignment="1"/>
    <xf numFmtId="3" fontId="3" fillId="0" borderId="9" xfId="0" applyNumberFormat="1" applyFont="1" applyFill="1" applyBorder="1" applyAlignment="1"/>
    <xf numFmtId="38" fontId="5" fillId="0" borderId="9" xfId="1" applyNumberFormat="1" applyFont="1" applyFill="1" applyBorder="1" applyAlignment="1"/>
    <xf numFmtId="178" fontId="1" fillId="0" borderId="0" xfId="2" applyNumberFormat="1" applyFont="1" applyFill="1" applyAlignment="1"/>
    <xf numFmtId="178" fontId="1" fillId="0" borderId="0" xfId="0" applyNumberFormat="1" applyFont="1" applyFill="1" applyAlignment="1"/>
    <xf numFmtId="178" fontId="1" fillId="0" borderId="1" xfId="0" applyNumberFormat="1" applyFont="1" applyFill="1" applyBorder="1" applyAlignment="1"/>
    <xf numFmtId="178" fontId="3" fillId="0" borderId="9" xfId="0" applyNumberFormat="1" applyFont="1" applyFill="1" applyBorder="1" applyAlignment="1"/>
    <xf numFmtId="0" fontId="1" fillId="0" borderId="0" xfId="0" applyFont="1" applyFill="1" applyAlignment="1"/>
    <xf numFmtId="178" fontId="5" fillId="0" borderId="0" xfId="2" applyNumberFormat="1" applyFont="1" applyFill="1" applyAlignment="1"/>
    <xf numFmtId="189" fontId="1" fillId="0" borderId="0" xfId="0" applyNumberFormat="1" applyFont="1">
      <alignment vertical="center"/>
    </xf>
    <xf numFmtId="0" fontId="12" fillId="5" borderId="4" xfId="0" applyFont="1" applyFill="1" applyBorder="1" applyAlignment="1"/>
    <xf numFmtId="190" fontId="1" fillId="0" borderId="0" xfId="1" applyNumberFormat="1" applyFont="1">
      <alignment vertical="center"/>
    </xf>
    <xf numFmtId="0" fontId="12" fillId="0" borderId="0" xfId="0" applyFont="1" applyAlignment="1">
      <alignment horizontal="center" vertical="center"/>
    </xf>
    <xf numFmtId="0" fontId="1" fillId="0" borderId="1" xfId="0" applyFont="1" applyFill="1" applyBorder="1">
      <alignment vertical="center"/>
    </xf>
    <xf numFmtId="0" fontId="3" fillId="0" borderId="9" xfId="0" applyFont="1" applyFill="1" applyBorder="1" applyAlignment="1"/>
    <xf numFmtId="38" fontId="14" fillId="0" borderId="0" xfId="1" applyNumberFormat="1" applyFont="1" applyFill="1" applyBorder="1" applyAlignment="1"/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FFE7"/>
      <color rgb="FFEFFBF1"/>
      <color rgb="FFFFFFCC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328083</xdr:colOff>
      <xdr:row>6</xdr:row>
      <xdr:rowOff>2</xdr:rowOff>
    </xdr:from>
    <xdr:to>
      <xdr:col>22</xdr:col>
      <xdr:colOff>439476</xdr:colOff>
      <xdr:row>16</xdr:row>
      <xdr:rowOff>10584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C58E97-9A80-4834-B7FB-62C9AEE0E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2883" y="514352"/>
          <a:ext cx="3739965" cy="1896533"/>
        </a:xfrm>
        <a:prstGeom prst="rect">
          <a:avLst/>
        </a:prstGeom>
      </xdr:spPr>
    </xdr:pic>
    <xdr:clientData/>
  </xdr:twoCellAnchor>
  <xdr:twoCellAnchor editAs="oneCell">
    <xdr:from>
      <xdr:col>16</xdr:col>
      <xdr:colOff>486833</xdr:colOff>
      <xdr:row>17</xdr:row>
      <xdr:rowOff>74083</xdr:rowOff>
    </xdr:from>
    <xdr:to>
      <xdr:col>20</xdr:col>
      <xdr:colOff>556078</xdr:colOff>
      <xdr:row>25</xdr:row>
      <xdr:rowOff>194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216BA5-47E0-4630-8C8F-12CE5C846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91633" y="2658533"/>
          <a:ext cx="2535767" cy="1399312"/>
        </a:xfrm>
        <a:prstGeom prst="rect">
          <a:avLst/>
        </a:prstGeom>
      </xdr:spPr>
    </xdr:pic>
    <xdr:clientData/>
  </xdr:twoCellAnchor>
  <xdr:twoCellAnchor editAs="oneCell">
    <xdr:from>
      <xdr:col>20</xdr:col>
      <xdr:colOff>571500</xdr:colOff>
      <xdr:row>16</xdr:row>
      <xdr:rowOff>52916</xdr:rowOff>
    </xdr:from>
    <xdr:to>
      <xdr:col>23</xdr:col>
      <xdr:colOff>582084</xdr:colOff>
      <xdr:row>24</xdr:row>
      <xdr:rowOff>78417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346418-402F-4E1B-85EA-3AA100FF4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217900" y="2453216"/>
          <a:ext cx="1991784" cy="1498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328083</xdr:colOff>
      <xdr:row>6</xdr:row>
      <xdr:rowOff>2</xdr:rowOff>
    </xdr:from>
    <xdr:to>
      <xdr:col>22</xdr:col>
      <xdr:colOff>439477</xdr:colOff>
      <xdr:row>16</xdr:row>
      <xdr:rowOff>10584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881E9B-5321-3578-FA86-77CA96FF2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12750" y="508002"/>
          <a:ext cx="3714565" cy="1862666"/>
        </a:xfrm>
        <a:prstGeom prst="rect">
          <a:avLst/>
        </a:prstGeom>
      </xdr:spPr>
    </xdr:pic>
    <xdr:clientData/>
  </xdr:twoCellAnchor>
  <xdr:twoCellAnchor editAs="oneCell">
    <xdr:from>
      <xdr:col>16</xdr:col>
      <xdr:colOff>486833</xdr:colOff>
      <xdr:row>17</xdr:row>
      <xdr:rowOff>74083</xdr:rowOff>
    </xdr:from>
    <xdr:to>
      <xdr:col>20</xdr:col>
      <xdr:colOff>556079</xdr:colOff>
      <xdr:row>25</xdr:row>
      <xdr:rowOff>194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D6544C-934E-9982-43C6-A3477271A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71500" y="2614083"/>
          <a:ext cx="2518833" cy="1365445"/>
        </a:xfrm>
        <a:prstGeom prst="rect">
          <a:avLst/>
        </a:prstGeom>
      </xdr:spPr>
    </xdr:pic>
    <xdr:clientData/>
  </xdr:twoCellAnchor>
  <xdr:twoCellAnchor editAs="oneCell">
    <xdr:from>
      <xdr:col>20</xdr:col>
      <xdr:colOff>571500</xdr:colOff>
      <xdr:row>16</xdr:row>
      <xdr:rowOff>52916</xdr:rowOff>
    </xdr:from>
    <xdr:to>
      <xdr:col>23</xdr:col>
      <xdr:colOff>582084</xdr:colOff>
      <xdr:row>24</xdr:row>
      <xdr:rowOff>78417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4E524B6-AEAF-FADF-C3DF-244A571D5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980833" y="2412999"/>
          <a:ext cx="1979084" cy="146483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328083</xdr:colOff>
      <xdr:row>6</xdr:row>
      <xdr:rowOff>2</xdr:rowOff>
    </xdr:from>
    <xdr:to>
      <xdr:col>22</xdr:col>
      <xdr:colOff>439477</xdr:colOff>
      <xdr:row>16</xdr:row>
      <xdr:rowOff>10584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97ED8E-3BDC-4698-8D58-57F41773C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2883" y="514352"/>
          <a:ext cx="3739965" cy="1896533"/>
        </a:xfrm>
        <a:prstGeom prst="rect">
          <a:avLst/>
        </a:prstGeom>
      </xdr:spPr>
    </xdr:pic>
    <xdr:clientData/>
  </xdr:twoCellAnchor>
  <xdr:twoCellAnchor editAs="oneCell">
    <xdr:from>
      <xdr:col>16</xdr:col>
      <xdr:colOff>486833</xdr:colOff>
      <xdr:row>17</xdr:row>
      <xdr:rowOff>74083</xdr:rowOff>
    </xdr:from>
    <xdr:to>
      <xdr:col>20</xdr:col>
      <xdr:colOff>556079</xdr:colOff>
      <xdr:row>25</xdr:row>
      <xdr:rowOff>194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471FAB-238F-4E7E-A320-1EED8A89F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91633" y="2658533"/>
          <a:ext cx="2535767" cy="1399312"/>
        </a:xfrm>
        <a:prstGeom prst="rect">
          <a:avLst/>
        </a:prstGeom>
      </xdr:spPr>
    </xdr:pic>
    <xdr:clientData/>
  </xdr:twoCellAnchor>
  <xdr:twoCellAnchor editAs="oneCell">
    <xdr:from>
      <xdr:col>20</xdr:col>
      <xdr:colOff>571500</xdr:colOff>
      <xdr:row>16</xdr:row>
      <xdr:rowOff>52916</xdr:rowOff>
    </xdr:from>
    <xdr:to>
      <xdr:col>23</xdr:col>
      <xdr:colOff>582084</xdr:colOff>
      <xdr:row>24</xdr:row>
      <xdr:rowOff>78417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15B63A-896D-47FC-BA98-7EA947468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217900" y="2453216"/>
          <a:ext cx="1991784" cy="14987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yo Suhara" id="{A975D573-A57D-4889-A002-6D551B40538C}" userId="2d319992da703ee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5" dT="2024-03-24T08:09:53.33" personId="{A975D573-A57D-4889-A002-6D551B40538C}" id="{52BB1C52-45B9-40C9-949C-419F548667CB}">
    <text>https://www.focus-economics.com/country-indicator/japan/gdp/#:~:text=The%20economy%20of%20Japan%20recorded,real%20GDP%20growth%20was%201.0%25.</text>
    <extLst>
      <x:ext xmlns:xltc2="http://schemas.microsoft.com/office/spreadsheetml/2020/threadedcomments2" uri="{F7C98A9C-CBB3-438F-8F68-D28B6AF4A901}">
        <xltc2:checksum>725764967</xltc2:checksum>
        <xltc2:hyperlink startIndex="0" length="141" url="https://www.focus-economics.com/country-indicator/japan/gdp/#:~:text=The%20economy%20of%20Japan%20recorded,real%20GDP%20growth%20was%201.0%25"/>
      </x:ext>
    </extLst>
  </threadedComment>
  <threadedComment ref="E20" dT="2024-03-23T19:07:34.92" personId="{A975D573-A57D-4889-A002-6D551B40538C}" id="{CBA9EAB4-1BC6-47E2-8347-A71A34786F68}">
    <text>https://www.cnbc.com/quotes/JP10Y-JP</text>
    <extLst>
      <x:ext xmlns:xltc2="http://schemas.microsoft.com/office/spreadsheetml/2020/threadedcomments2" uri="{F7C98A9C-CBB3-438F-8F68-D28B6AF4A901}">
        <xltc2:checksum>2785723248</xltc2:checksum>
        <xltc2:hyperlink startIndex="0" length="36" url="https://www.cnbc.com/quotes/JP10Y-JP"/>
      </x:ext>
    </extLst>
  </threadedComment>
  <threadedComment ref="E21" dT="2024-03-23T19:11:51.82" personId="{A975D573-A57D-4889-A002-6D551B40538C}" id="{2B2858FE-56E2-40DA-B385-28CA44E0293A}">
    <text xml:space="preserve">Nikkei 225 (^N225) - Stock Analysis | PortfoliosLab </text>
    <extLst>
      <x:ext xmlns:xltc2="http://schemas.microsoft.com/office/spreadsheetml/2020/threadedcomments2" uri="{F7C98A9C-CBB3-438F-8F68-D28B6AF4A901}">
        <xltc2:checksum>1144141169</xltc2:checksum>
        <xltc2:hyperlink startIndex="0" length="51" url="https://portfolioslab.com/symbol/%5EN225"/>
      </x:ext>
    </extLst>
  </threadedComment>
  <threadedComment ref="E23" dT="2024-03-23T19:14:55.66" personId="{A975D573-A57D-4889-A002-6D551B40538C}" id="{44A4AE54-C82C-4C81-B51C-272788AE6D46}">
    <text>https://finance.yahoo.com/quote/AMZN/key-statistics/</text>
    <extLst>
      <x:ext xmlns:xltc2="http://schemas.microsoft.com/office/spreadsheetml/2020/threadedcomments2" uri="{F7C98A9C-CBB3-438F-8F68-D28B6AF4A901}">
        <xltc2:checksum>3865120066</xltc2:checksum>
        <xltc2:hyperlink startIndex="0" length="52" url="https://finance.yahoo.com/quote/AMZN/key-statistics/"/>
      </x:ext>
    </extLst>
  </threadedComment>
  <threadedComment ref="B24" dT="2024-03-24T11:27:53.94" personId="{A975D573-A57D-4889-A002-6D551B40538C}" id="{0B25010C-9EDC-41D8-BEBB-91FDB14FD9CB}">
    <text>https://finance.yahoo.com/quote/9531.T/key-statistics/</text>
    <extLst>
      <x:ext xmlns:xltc2="http://schemas.microsoft.com/office/spreadsheetml/2020/threadedcomments2" uri="{F7C98A9C-CBB3-438F-8F68-D28B6AF4A901}">
        <xltc2:checksum>1254719986</xltc2:checksum>
        <xltc2:hyperlink startIndex="0" length="54" url="https://finance.yahoo.com/quote/9531.T/key-statistics/"/>
      </x:ext>
    </extLst>
  </threadedComment>
  <threadedComment ref="L32" dT="2024-03-24T10:56:16.28" personId="{A975D573-A57D-4889-A002-6D551B40538C}" id="{C08C51EA-577F-465D-BF58-7CD8B179DCB5}">
    <text>Avoid the outlier in 2023 to stay conservative</text>
  </threadedComment>
  <threadedComment ref="C56" dT="2024-03-24T10:54:41.23" personId="{A975D573-A57D-4889-A002-6D551B40538C}" id="{04F2934A-9A34-424C-AE23-0EEEB45B4F7D}">
    <text>Stay conservative by taking 2014-2022 average excluding the outlier in 2023</text>
  </threadedComment>
  <threadedComment ref="B67" dT="2024-03-23T09:45:14.46" personId="{A975D573-A57D-4889-A002-6D551B40538C}" id="{7FE4AC78-094C-4299-9737-060C89DDC5BB}">
    <text>Add back depreciation deducted from the original BV</text>
  </threadedComment>
  <threadedComment ref="B68" dT="2024-03-23T09:45:18.18" personId="{A975D573-A57D-4889-A002-6D551B40538C}" id="{1FE74748-DA61-4AB1-8903-9F17C8DBE1B6}">
    <text>CAPEX</text>
  </threadedComment>
  <threadedComment ref="B93" dT="2024-03-23T10:11:26.06" personId="{A975D573-A57D-4889-A002-6D551B40538C}" id="{A0637F86-CD42-4103-A71B-D8DCF372B754}">
    <text>Number of days it takes for a company to collect payment on a sale</text>
  </threadedComment>
  <threadedComment ref="B94" dT="2024-03-23T10:12:09.93" personId="{A975D573-A57D-4889-A002-6D551B40538C}" id="{A35780E8-1B56-4D91-AA51-568AA548AACA}">
    <text>Number of days it takes company to sell its inventory</text>
  </threadedComment>
  <threadedComment ref="B105" dT="2024-03-24T12:50:44.90" personId="{A975D573-A57D-4889-A002-6D551B40538C}" id="{0DC10930-26B5-4532-9868-43CAF70DBACE}">
    <text>https://www.macrotrends.net/2550/dollar-yen-exchange-rate-historical-chart</text>
    <extLst>
      <x:ext xmlns:xltc2="http://schemas.microsoft.com/office/spreadsheetml/2020/threadedcomments2" uri="{F7C98A9C-CBB3-438F-8F68-D28B6AF4A901}">
        <xltc2:checksum>436114656</xltc2:checksum>
        <xltc2:hyperlink startIndex="0" length="74" url="https://www.macrotrends.net/2550/dollar-yen-exchange-rate-historical-chart"/>
      </x:ext>
    </extLs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5" dT="2024-03-24T08:09:53.33" personId="{A975D573-A57D-4889-A002-6D551B40538C}" id="{D7773B2C-3BDA-4FC2-916C-AF8A7527AA8E}">
    <text>https://www.macrotrends.net/global-metrics/countries/USA/united-states/gdp-growth-rate#google_vignette</text>
    <extLst>
      <x:ext xmlns:xltc2="http://schemas.microsoft.com/office/spreadsheetml/2020/threadedcomments2" uri="{F7C98A9C-CBB3-438F-8F68-D28B6AF4A901}">
        <xltc2:checksum>3892028544</xltc2:checksum>
        <xltc2:hyperlink startIndex="0" length="102" url="https://www.macrotrends.net/global-metrics/countries/USA/united-states/gdp-growth-rate#google_vignette"/>
      </x:ext>
    </extLst>
  </threadedComment>
  <threadedComment ref="E20" dT="2024-03-23T19:07:34.92" personId="{A975D573-A57D-4889-A002-6D551B40538C}" id="{DEF86B70-C283-42C3-9DCA-8C76DC8A7708}">
    <text>https://www.cnbc.com/quotes/US10Y</text>
    <extLst>
      <x:ext xmlns:xltc2="http://schemas.microsoft.com/office/spreadsheetml/2020/threadedcomments2" uri="{F7C98A9C-CBB3-438F-8F68-D28B6AF4A901}">
        <xltc2:checksum>1276565838</xltc2:checksum>
        <xltc2:hyperlink startIndex="0" length="33" url="https://www.cnbc.com/quotes/US10Y"/>
      </x:ext>
    </extLst>
  </threadedComment>
  <threadedComment ref="E21" dT="2024-03-23T19:11:51.82" personId="{A975D573-A57D-4889-A002-6D551B40538C}" id="{F44AB189-7266-485F-B336-2751B1BDB3D0}">
    <text>https://static.fmgsuite.com/media/documents/bc618705-6161-4c00-be7f-c667c90c61b5.pdf</text>
    <extLst>
      <x:ext xmlns:xltc2="http://schemas.microsoft.com/office/spreadsheetml/2020/threadedcomments2" uri="{F7C98A9C-CBB3-438F-8F68-D28B6AF4A901}">
        <xltc2:checksum>534157301</xltc2:checksum>
        <xltc2:hyperlink startIndex="0" length="84" url="https://static.fmgsuite.com/media/documents/bc618705-6161-4c00-be7f-c667c90c61b5.pdf"/>
      </x:ext>
    </extLst>
  </threadedComment>
  <threadedComment ref="E23" dT="2024-03-23T19:14:55.66" personId="{A975D573-A57D-4889-A002-6D551B40538C}" id="{8430FD50-9C72-4CFB-B6B3-82D44B548E08}">
    <text>https://finance.yahoo.com/quote/AMZN/key-statistics/</text>
    <extLst>
      <x:ext xmlns:xltc2="http://schemas.microsoft.com/office/spreadsheetml/2020/threadedcomments2" uri="{F7C98A9C-CBB3-438F-8F68-D28B6AF4A901}">
        <xltc2:checksum>3865120066</xltc2:checksum>
        <xltc2:hyperlink startIndex="0" length="52" url="https://finance.yahoo.com/quote/AMZN/key-statistics/"/>
      </x:ext>
    </extLst>
  </threadedComment>
  <threadedComment ref="B67" dT="2024-03-23T09:45:14.46" personId="{A975D573-A57D-4889-A002-6D551B40538C}" id="{9ADDE886-1DA8-4E27-AD8B-423FE0538609}">
    <text>Add back depreciation deducted from the original BV</text>
  </threadedComment>
  <threadedComment ref="B68" dT="2024-03-23T09:45:18.18" personId="{A975D573-A57D-4889-A002-6D551B40538C}" id="{27786689-EE84-42CE-BDF1-6720F608452D}">
    <text>CAPEX</text>
  </threadedComment>
  <threadedComment ref="B93" dT="2024-03-23T10:11:26.06" personId="{A975D573-A57D-4889-A002-6D551B40538C}" id="{BCE199D5-F392-4E0B-B3B3-8730D9401080}">
    <text>Number of days it takes for a company to collect payment on a sale</text>
  </threadedComment>
  <threadedComment ref="B94" dT="2024-03-23T10:12:09.93" personId="{A975D573-A57D-4889-A002-6D551B40538C}" id="{DB3E5281-E62B-4D7E-90B8-3EF8E5B6C3FF}">
    <text>Number of days it takes company to sell its inventory</text>
  </threadedComment>
  <threadedComment ref="B105" dT="2024-03-24T12:50:44.90" personId="{A975D573-A57D-4889-A002-6D551B40538C}" id="{5CC4BA44-D10C-4A7E-A7D7-2A3C82492F8E}">
    <text>https://www.macrotrends.net/2550/dollar-yen-exchange-rate-historical-chart</text>
    <extLst>
      <x:ext xmlns:xltc2="http://schemas.microsoft.com/office/spreadsheetml/2020/threadedcomments2" uri="{F7C98A9C-CBB3-438F-8F68-D28B6AF4A901}">
        <xltc2:checksum>436114656</xltc2:checksum>
        <xltc2:hyperlink startIndex="0" length="74" url="https://www.macrotrends.net/2550/dollar-yen-exchange-rate-historical-chart"/>
      </x:ext>
    </extLs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5" dT="2024-03-24T08:09:53.33" personId="{A975D573-A57D-4889-A002-6D551B40538C}" id="{41B62F7E-C071-4AD1-ADE6-324E04AC7EBF}">
    <text>https://www.macrotrends.net/global-metrics/countries/DEU/germany/gdp-growth-rate</text>
    <extLst>
      <x:ext xmlns:xltc2="http://schemas.microsoft.com/office/spreadsheetml/2020/threadedcomments2" uri="{F7C98A9C-CBB3-438F-8F68-D28B6AF4A901}">
        <xltc2:checksum>2743704197</xltc2:checksum>
        <xltc2:hyperlink startIndex="0" length="80" url="https://www.macrotrends.net/global-metrics/countries/DEU/germany/gdp-growth-rate"/>
      </x:ext>
    </extLst>
  </threadedComment>
  <threadedComment ref="E20" dT="2024-03-23T19:07:34.92" personId="{A975D573-A57D-4889-A002-6D551B40538C}" id="{4B78511B-853F-4137-B806-8B80F042055B}">
    <text>https://www.wsj.com/market-data/quotes/bond/BX/TMBMKDE-10Y</text>
    <extLst>
      <x:ext xmlns:xltc2="http://schemas.microsoft.com/office/spreadsheetml/2020/threadedcomments2" uri="{F7C98A9C-CBB3-438F-8F68-D28B6AF4A901}">
        <xltc2:checksum>2792857769</xltc2:checksum>
        <xltc2:hyperlink startIndex="0" length="58" url="https://www.wsj.com/market-data/quotes/bond/BX/TMBMKDE-10Y"/>
      </x:ext>
    </extLst>
  </threadedComment>
  <threadedComment ref="E21" dT="2024-03-23T19:11:51.82" personId="{A975D573-A57D-4889-A002-6D551B40538C}" id="{DBEE0C58-4A92-415F-B88B-C832E4631C82}">
    <text>https://curvo.eu/backtest/en/market-index/dax?currency=eur</text>
    <extLst>
      <x:ext xmlns:xltc2="http://schemas.microsoft.com/office/spreadsheetml/2020/threadedcomments2" uri="{F7C98A9C-CBB3-438F-8F68-D28B6AF4A901}">
        <xltc2:checksum>3176153346</xltc2:checksum>
        <xltc2:hyperlink startIndex="0" length="58" url="https://curvo.eu/backtest/en/market-index/dax?currency=eur"/>
      </x:ext>
    </extLst>
  </threadedComment>
  <threadedComment ref="E23" dT="2024-03-23T19:14:55.66" personId="{A975D573-A57D-4889-A002-6D551B40538C}" id="{94602E20-8FA5-4BE1-B505-9AE01D422C1D}">
    <text>https://finbox.com/DB:MTX/models/wacc/</text>
    <extLst>
      <x:ext xmlns:xltc2="http://schemas.microsoft.com/office/spreadsheetml/2020/threadedcomments2" uri="{F7C98A9C-CBB3-438F-8F68-D28B6AF4A901}">
        <xltc2:checksum>1991149534</xltc2:checksum>
        <xltc2:hyperlink startIndex="0" length="38" url="https://finbox.com/DB:MTX/models/wacc/"/>
      </x:ext>
    </extLst>
  </threadedComment>
  <threadedComment ref="B67" dT="2024-03-23T09:45:14.46" personId="{A975D573-A57D-4889-A002-6D551B40538C}" id="{CC8D8A4D-99A3-4404-BE27-C230ACE7BC59}">
    <text>Add back depreciation deducted from the original BV</text>
  </threadedComment>
  <threadedComment ref="B68" dT="2024-03-23T09:45:18.18" personId="{A975D573-A57D-4889-A002-6D551B40538C}" id="{5DFCB5B5-0AEE-4851-81FD-7A551085D1BF}">
    <text>CAPEX</text>
  </threadedComment>
  <threadedComment ref="B93" dT="2024-03-23T10:11:26.06" personId="{A975D573-A57D-4889-A002-6D551B40538C}" id="{91092907-7E29-4FE5-99D7-6858631089D8}">
    <text>Number of days it takes for a company to collect payment on a sale</text>
  </threadedComment>
  <threadedComment ref="B94" dT="2024-03-23T10:12:09.93" personId="{A975D573-A57D-4889-A002-6D551B40538C}" id="{26816286-213F-4B6B-BF6A-851BBE3AFDE9}">
    <text>Number of days it takes company to sell its inventory</text>
  </threadedComment>
  <threadedComment ref="B105" dT="2024-03-24T12:50:44.90" personId="{A975D573-A57D-4889-A002-6D551B40538C}" id="{A7D6C74A-392B-42F7-833C-86321F233BD7}">
    <text>https://www.macrotrends.net/2550/dollar-yen-exchange-rate-historical-chart</text>
    <extLst>
      <x:ext xmlns:xltc2="http://schemas.microsoft.com/office/spreadsheetml/2020/threadedcomments2" uri="{F7C98A9C-CBB3-438F-8F68-D28B6AF4A901}">
        <xltc2:checksum>436114656</xltc2:checksum>
        <xltc2:hyperlink startIndex="0" length="74" url="https://www.macrotrends.net/2550/dollar-yen-exchange-rate-historical-chart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CB87-D95A-4F5D-969A-BAE21260A4BF}">
  <sheetPr>
    <tabColor rgb="FFFFFF00"/>
  </sheetPr>
  <dimension ref="A1:P28"/>
  <sheetViews>
    <sheetView showGridLines="0" tabSelected="1" zoomScale="60" zoomScaleNormal="60" workbookViewId="0">
      <selection activeCell="U22" sqref="U22"/>
    </sheetView>
  </sheetViews>
  <sheetFormatPr defaultRowHeight="14.5"/>
  <cols>
    <col min="1" max="1" width="3" style="1" customWidth="1"/>
    <col min="2" max="2" width="37.9140625" style="1" customWidth="1"/>
    <col min="3" max="3" width="12.83203125" style="1" bestFit="1" customWidth="1"/>
    <col min="4" max="5" width="8.6640625" style="1"/>
    <col min="6" max="6" width="8.4140625" style="1" customWidth="1"/>
    <col min="7" max="7" width="8.6640625" style="1"/>
    <col min="8" max="8" width="8.33203125" style="1" customWidth="1"/>
    <col min="9" max="9" width="9.33203125" style="1" bestFit="1" customWidth="1"/>
    <col min="10" max="16" width="8.6640625" style="1"/>
    <col min="17" max="17" width="3.83203125" style="1" customWidth="1"/>
    <col min="18" max="16384" width="8.6640625" style="1"/>
  </cols>
  <sheetData>
    <row r="1" spans="2:16" ht="18.5">
      <c r="B1" s="182" t="s">
        <v>317</v>
      </c>
      <c r="C1" s="183" t="s">
        <v>325</v>
      </c>
      <c r="D1" s="189" t="str">
        <f>_xlfn.CONCAT(VLOOKUP($C$1,$O$1:$P$5,2,0),"(",$C$1,")")</f>
        <v>MTU(MTX)</v>
      </c>
      <c r="N1" s="189" t="s">
        <v>322</v>
      </c>
      <c r="O1" s="189" t="s">
        <v>321</v>
      </c>
      <c r="P1" s="189" t="s">
        <v>327</v>
      </c>
    </row>
    <row r="2" spans="2:16" ht="18.5">
      <c r="B2" s="182" t="s">
        <v>319</v>
      </c>
      <c r="C2" s="183" t="s">
        <v>323</v>
      </c>
      <c r="D2" s="189" t="b" cm="1">
        <f t="array" aca="1" ref="D2" ca="1">INDIRECT("'"&amp;$D$1&amp;"'!"&amp;ADDRESS(ROW(C2),COLUMN(C2)))=C2</f>
        <v>1</v>
      </c>
      <c r="E2" s="203" t="b" cm="1">
        <f t="array" aca="1" ref="E2" ca="1">IF(INDIRECT("'"&amp;$D$1&amp;"'!"&amp;ADDRESS(ROW(C2),COLUMN(C2)))="JPY","TRUE",FALSE)</f>
        <v>0</v>
      </c>
      <c r="N2" s="189" t="s">
        <v>324</v>
      </c>
      <c r="O2" s="189" t="s">
        <v>320</v>
      </c>
      <c r="P2" s="189" t="s">
        <v>328</v>
      </c>
    </row>
    <row r="3" spans="2:16" ht="18.5">
      <c r="B3" s="182" t="s">
        <v>318</v>
      </c>
      <c r="C3" s="184">
        <v>45375</v>
      </c>
      <c r="D3" s="189" t="str">
        <f>_xlfn.CONCAT(YEAR(C3),"/",MONTH(C3),"/",DAY(C3))</f>
        <v>2024/3/24</v>
      </c>
      <c r="O3" s="189" t="s">
        <v>326</v>
      </c>
      <c r="P3" s="189" t="s">
        <v>329</v>
      </c>
    </row>
    <row r="4" spans="2:16" ht="18.5">
      <c r="B4" s="182"/>
      <c r="C4" s="185"/>
    </row>
    <row r="6" spans="2:16" ht="26">
      <c r="B6" s="21" t="s">
        <v>228</v>
      </c>
    </row>
    <row r="7" spans="2:16">
      <c r="B7" s="112" t="s">
        <v>205</v>
      </c>
      <c r="C7" s="112"/>
      <c r="D7" s="112"/>
      <c r="E7" s="112">
        <v>2017</v>
      </c>
      <c r="F7" s="112">
        <f>E7+1</f>
        <v>2018</v>
      </c>
      <c r="G7" s="112">
        <f t="shared" ref="G7:P7" si="0">F7+1</f>
        <v>2019</v>
      </c>
      <c r="H7" s="112">
        <f t="shared" si="0"/>
        <v>2020</v>
      </c>
      <c r="I7" s="112">
        <f t="shared" si="0"/>
        <v>2021</v>
      </c>
      <c r="J7" s="112">
        <f t="shared" si="0"/>
        <v>2022</v>
      </c>
      <c r="K7" s="112">
        <f t="shared" si="0"/>
        <v>2023</v>
      </c>
      <c r="L7" s="112">
        <f t="shared" si="0"/>
        <v>2024</v>
      </c>
      <c r="M7" s="112">
        <f t="shared" si="0"/>
        <v>2025</v>
      </c>
      <c r="N7" s="112">
        <f t="shared" si="0"/>
        <v>2026</v>
      </c>
      <c r="O7" s="112">
        <f t="shared" si="0"/>
        <v>2027</v>
      </c>
      <c r="P7" s="112">
        <f t="shared" si="0"/>
        <v>2028</v>
      </c>
    </row>
    <row r="8" spans="2:16">
      <c r="B8" s="104" t="s">
        <v>206</v>
      </c>
      <c r="C8" s="105"/>
      <c r="D8" s="106">
        <v>42735</v>
      </c>
      <c r="E8" s="107">
        <v>43100</v>
      </c>
      <c r="F8" s="107">
        <v>43465</v>
      </c>
      <c r="G8" s="107">
        <v>43830</v>
      </c>
      <c r="H8" s="107">
        <v>44196</v>
      </c>
      <c r="I8" s="107">
        <v>44561</v>
      </c>
      <c r="J8" s="107">
        <v>44926</v>
      </c>
      <c r="K8" s="107">
        <v>45291</v>
      </c>
      <c r="L8" s="108">
        <v>45657</v>
      </c>
      <c r="M8" s="108">
        <v>46022</v>
      </c>
      <c r="N8" s="108">
        <v>46387</v>
      </c>
      <c r="O8" s="108">
        <v>46752</v>
      </c>
      <c r="P8" s="108">
        <v>47118</v>
      </c>
    </row>
    <row r="9" spans="2:16">
      <c r="B9" s="6" t="s">
        <v>213</v>
      </c>
      <c r="C9" s="39"/>
      <c r="D9" s="72"/>
      <c r="E9" s="190" cm="1">
        <f t="array" aca="1" ref="E9" ca="1">IF(AND(NOT($D$2),$E$2),INDIRECT("'"&amp;$D$1&amp;"'!"&amp;ADDRESS(ROW(),COLUMN()))/'TokyoGas(TKGSY)'!E$105,
IF(AND(NOT($D$2),NOT($E$2)),INDIRECT("'"&amp;$D$1&amp;"'!"&amp;ADDRESS(ROW(),COLUMN()))/'TokyoGas(TKGSY)'!E$106,
INDIRECT("'"&amp;$D$1&amp;"'!"&amp;ADDRESS(ROW(),COLUMN()))))</f>
        <v>104.8309999999999</v>
      </c>
      <c r="F9" s="190" cm="1">
        <f t="array" aca="1" ref="F9" ca="1">IF(AND(NOT($D$2),$E$2),INDIRECT("'"&amp;$D$1&amp;"'!"&amp;ADDRESS(ROW(),COLUMN()))/'TokyoGas(TKGSY)'!F$105,
IF(AND(NOT($D$2),NOT($E$2)),INDIRECT("'"&amp;$D$1&amp;"'!"&amp;ADDRESS(ROW(),COLUMN()))/'TokyoGas(TKGSY)'!F$106,
INDIRECT("'"&amp;$D$1&amp;"'!"&amp;ADDRESS(ROW(),COLUMN()))))</f>
        <v>469.90399999999988</v>
      </c>
      <c r="G9" s="22" cm="1">
        <f t="array" aca="1" ref="G9" ca="1">IF(AND(NOT($D$2),$E$2),INDIRECT("'"&amp;$D$1&amp;"'!"&amp;ADDRESS(ROW(),COLUMN()))/'TokyoGas(TKGSY)'!G$105,
IF(AND(NOT($D$2),NOT($E$2)),INDIRECT("'"&amp;$D$1&amp;"'!"&amp;ADDRESS(ROW(),COLUMN()))/'TokyoGas(TKGSY)'!G$106,
INDIRECT("'"&amp;$D$1&amp;"'!"&amp;ADDRESS(ROW(),COLUMN()))))</f>
        <v>550.59500000000037</v>
      </c>
      <c r="H9" s="22" cm="1">
        <f t="array" aca="1" ref="H9" ca="1">IF(AND(NOT($D$2),$E$2),INDIRECT("'"&amp;$D$1&amp;"'!"&amp;ADDRESS(ROW(),COLUMN()))/'TokyoGas(TKGSY)'!H$105,
IF(AND(NOT($D$2),NOT($E$2)),INDIRECT("'"&amp;$D$1&amp;"'!"&amp;ADDRESS(ROW(),COLUMN()))/'TokyoGas(TKGSY)'!H$106,
INDIRECT("'"&amp;$D$1&amp;"'!"&amp;ADDRESS(ROW(),COLUMN()))))</f>
        <v>378.32099999999991</v>
      </c>
      <c r="I9" s="22" cm="1">
        <f t="array" aca="1" ref="I9" ca="1">IF(AND(NOT($D$2),$E$2),INDIRECT("'"&amp;$D$1&amp;"'!"&amp;ADDRESS(ROW(),COLUMN()))/'TokyoGas(TKGSY)'!I$105,
IF(AND(NOT($D$2),NOT($E$2)),INDIRECT("'"&amp;$D$1&amp;"'!"&amp;ADDRESS(ROW(),COLUMN()))/'TokyoGas(TKGSY)'!I$106,
INDIRECT("'"&amp;$D$1&amp;"'!"&amp;ADDRESS(ROW(),COLUMN()))))</f>
        <v>411.76899999999921</v>
      </c>
      <c r="J9" s="22" cm="1">
        <f t="array" aca="1" ref="J9" ca="1">IF(AND(NOT($D$2),$E$2),INDIRECT("'"&amp;$D$1&amp;"'!"&amp;ADDRESS(ROW(),COLUMN()))/'TokyoGas(TKGSY)'!J$105,
IF(AND(NOT($D$2),NOT($E$2)),INDIRECT("'"&amp;$D$1&amp;"'!"&amp;ADDRESS(ROW(),COLUMN()))/'TokyoGas(TKGSY)'!J$106,
INDIRECT("'"&amp;$D$1&amp;"'!"&amp;ADDRESS(ROW(),COLUMN()))))</f>
        <v>645.62110000000098</v>
      </c>
      <c r="K9" s="22" cm="1">
        <f t="array" aca="1" ref="K9" ca="1">IF(AND(NOT($D$2),$E$2),INDIRECT("'"&amp;$D$1&amp;"'!"&amp;ADDRESS(ROW(),COLUMN()))/'TokyoGas(TKGSY)'!K$105,
IF(AND(NOT($D$2),NOT($E$2)),INDIRECT("'"&amp;$D$1&amp;"'!"&amp;ADDRESS(ROW(),COLUMN()))/'TokyoGas(TKGSY)'!K$106,
INDIRECT("'"&amp;$D$1&amp;"'!"&amp;ADDRESS(ROW(),COLUMN()))))</f>
        <v>771.83071362850433</v>
      </c>
      <c r="L9" s="22" cm="1">
        <f t="array" aca="1" ref="L9" ca="1">IF(AND(NOT($D$2),$E$2),INDIRECT("'"&amp;$D$1&amp;"'!"&amp;ADDRESS(ROW(),COLUMN()))/'TokyoGas(TKGSY)'!L$105,
IF(AND(NOT($D$2),NOT($E$2)),INDIRECT("'"&amp;$D$1&amp;"'!"&amp;ADDRESS(ROW(),COLUMN()))/'TokyoGas(TKGSY)'!L$106,
INDIRECT("'"&amp;$D$1&amp;"'!"&amp;ADDRESS(ROW(),COLUMN()))))</f>
        <v>506.22527193875294</v>
      </c>
      <c r="M9" s="22" cm="1">
        <f t="array" aca="1" ref="M9" ca="1">IF(AND(NOT($D$2),$E$2),INDIRECT("'"&amp;$D$1&amp;"'!"&amp;ADDRESS(ROW(),COLUMN()))/'TokyoGas(TKGSY)'!M$105,
IF(AND(NOT($D$2),NOT($E$2)),INDIRECT("'"&amp;$D$1&amp;"'!"&amp;ADDRESS(ROW(),COLUMN()))/'TokyoGas(TKGSY)'!M$106,
INDIRECT("'"&amp;$D$1&amp;"'!"&amp;ADDRESS(ROW(),COLUMN()))))</f>
        <v>530.26324256510793</v>
      </c>
      <c r="N9" s="22" cm="1">
        <f t="array" aca="1" ref="N9" ca="1">IF(AND(NOT($D$2),$E$2),INDIRECT("'"&amp;$D$1&amp;"'!"&amp;ADDRESS(ROW(),COLUMN()))/'TokyoGas(TKGSY)'!N$105,
IF(AND(NOT($D$2),NOT($E$2)),INDIRECT("'"&amp;$D$1&amp;"'!"&amp;ADDRESS(ROW(),COLUMN()))/'TokyoGas(TKGSY)'!N$106,
INDIRECT("'"&amp;$D$1&amp;"'!"&amp;ADDRESS(ROW(),COLUMN()))))</f>
        <v>565.06441580578178</v>
      </c>
      <c r="O9" s="22" cm="1">
        <f t="array" aca="1" ref="O9" ca="1">IF(AND(NOT($D$2),$E$2),INDIRECT("'"&amp;$D$1&amp;"'!"&amp;ADDRESS(ROW(),COLUMN()))/'TokyoGas(TKGSY)'!O$105,
IF(AND(NOT($D$2),NOT($E$2)),INDIRECT("'"&amp;$D$1&amp;"'!"&amp;ADDRESS(ROW(),COLUMN()))/'TokyoGas(TKGSY)'!O$106,
INDIRECT("'"&amp;$D$1&amp;"'!"&amp;ADDRESS(ROW(),COLUMN()))))</f>
        <v>608.77561702233822</v>
      </c>
      <c r="P9" s="22" cm="1">
        <f t="array" aca="1" ref="P9" ca="1">IF(AND(NOT($D$2),$E$2),INDIRECT("'"&amp;$D$1&amp;"'!"&amp;ADDRESS(ROW(),COLUMN()))/'TokyoGas(TKGSY)'!P$105,
IF(AND(NOT($D$2),NOT($E$2)),INDIRECT("'"&amp;$D$1&amp;"'!"&amp;ADDRESS(ROW(),COLUMN()))/'TokyoGas(TKGSY)'!P$106,
INDIRECT("'"&amp;$D$1&amp;"'!"&amp;ADDRESS(ROW(),COLUMN()))))</f>
        <v>663.87278058080801</v>
      </c>
    </row>
    <row r="10" spans="2:16">
      <c r="B10" s="25" t="s">
        <v>218</v>
      </c>
      <c r="C10" s="30"/>
      <c r="D10" s="74"/>
      <c r="E10" s="204"/>
      <c r="F10" s="204"/>
      <c r="G10" s="25"/>
      <c r="H10" s="25"/>
      <c r="I10" s="25"/>
      <c r="J10" s="25"/>
      <c r="K10" s="25"/>
      <c r="L10" s="191" cm="1">
        <f t="array" aca="1" ref="L10" ca="1">INDIRECT("'"&amp;$D$1&amp;"'!"&amp;ADDRESS(ROW(),COLUMN()))</f>
        <v>1</v>
      </c>
      <c r="M10" s="191" cm="1">
        <f t="array" aca="1" ref="M10" ca="1">INDIRECT("'"&amp;$D$1&amp;"'!"&amp;ADDRESS(ROW(),COLUMN()))</f>
        <v>2</v>
      </c>
      <c r="N10" s="191" cm="1">
        <f t="array" aca="1" ref="N10" ca="1">INDIRECT("'"&amp;$D$1&amp;"'!"&amp;ADDRESS(ROW(),COLUMN()))</f>
        <v>3</v>
      </c>
      <c r="O10" s="191" cm="1">
        <f t="array" aca="1" ref="O10" ca="1">INDIRECT("'"&amp;$D$1&amp;"'!"&amp;ADDRESS(ROW(),COLUMN()))</f>
        <v>4</v>
      </c>
      <c r="P10" s="191" cm="1">
        <f t="array" aca="1" ref="P10" ca="1">INDIRECT("'"&amp;$D$1&amp;"'!"&amp;ADDRESS(ROW(),COLUMN()))</f>
        <v>5</v>
      </c>
    </row>
    <row r="11" spans="2:16">
      <c r="B11" s="37" t="s">
        <v>219</v>
      </c>
      <c r="C11" s="42"/>
      <c r="D11" s="75"/>
      <c r="E11" s="205"/>
      <c r="F11" s="205"/>
      <c r="G11" s="37"/>
      <c r="H11" s="37"/>
      <c r="I11" s="37"/>
      <c r="J11" s="37"/>
      <c r="K11" s="37"/>
      <c r="L11" s="192">
        <f ca="1">L9/(1+$C$16)^L10</f>
        <v>486.89254680800371</v>
      </c>
      <c r="M11" s="192">
        <f t="shared" ref="M11:P11" ca="1" si="1">M9/(1+$C$16)^M10</f>
        <v>490.53514864255391</v>
      </c>
      <c r="N11" s="192">
        <f t="shared" ca="1" si="1"/>
        <v>502.76596666067002</v>
      </c>
      <c r="O11" s="192">
        <f t="shared" ca="1" si="1"/>
        <v>520.97210064506567</v>
      </c>
      <c r="P11" s="192">
        <f t="shared" ca="1" si="1"/>
        <v>546.4260350185483</v>
      </c>
    </row>
    <row r="12" spans="2:16">
      <c r="B12" s="6"/>
      <c r="C12" s="6"/>
      <c r="D12" s="6"/>
      <c r="E12" s="6"/>
      <c r="I12" s="6"/>
      <c r="J12" s="6"/>
      <c r="K12" s="6"/>
      <c r="L12" s="6"/>
      <c r="M12" s="6"/>
      <c r="N12" s="6"/>
      <c r="O12" s="6"/>
      <c r="P12" s="6"/>
    </row>
    <row r="13" spans="2:16" ht="18" customHeight="1">
      <c r="B13" s="119" t="s">
        <v>220</v>
      </c>
      <c r="C13" s="120"/>
      <c r="D13" s="5"/>
      <c r="E13" s="119" t="s">
        <v>233</v>
      </c>
      <c r="F13" s="119"/>
      <c r="G13" s="119"/>
      <c r="H13" s="119"/>
      <c r="I13" s="6"/>
      <c r="J13" s="119" t="s">
        <v>0</v>
      </c>
      <c r="K13" s="119"/>
      <c r="L13" s="119"/>
      <c r="M13" s="119"/>
      <c r="N13" s="119"/>
      <c r="O13" s="119"/>
      <c r="P13" s="119"/>
    </row>
    <row r="14" spans="2:16">
      <c r="B14" s="6" t="s">
        <v>221</v>
      </c>
      <c r="C14" s="22">
        <f ca="1">SUM(L11:P11)</f>
        <v>2547.5917977748418</v>
      </c>
      <c r="D14" s="116"/>
      <c r="E14" s="6" t="s">
        <v>234</v>
      </c>
      <c r="H14" s="22" cm="1">
        <f t="array" aca="1" ref="H14" ca="1">IF(AND(NOT($D$2),$E$2),INDIRECT("'"&amp;$D$1&amp;"'!"&amp;ADDRESS(ROW(),COLUMN()))/'TokyoGas(TKGSY)'!P$105,
IF(AND(NOT($D$2),NOT($E$2)),INDIRECT("'"&amp;$D$1&amp;"'!"&amp;ADDRESS(ROW(),COLUMN()))/'TokyoGas(TKGSY)'!P$106,
INDIRECT("'"&amp;$D$1&amp;"'!"&amp;ADDRESS(ROW(),COLUMN()))))</f>
        <v>3273.5349999999999</v>
      </c>
      <c r="I14" s="6"/>
      <c r="J14" s="6"/>
      <c r="K14" s="6"/>
      <c r="L14" s="6"/>
      <c r="M14" s="6"/>
      <c r="N14" s="6"/>
      <c r="O14" s="6"/>
      <c r="P14" s="6"/>
    </row>
    <row r="15" spans="2:16">
      <c r="B15" s="6" t="s">
        <v>1</v>
      </c>
      <c r="C15" s="199" cm="1">
        <f t="array" aca="1" ref="C15" ca="1">INDIRECT("'"&amp;$D$1&amp;"'!"&amp;ADDRESS(ROW(),COLUMN()))</f>
        <v>1.2E-2</v>
      </c>
      <c r="D15" s="117"/>
      <c r="E15" s="6" t="s">
        <v>314</v>
      </c>
      <c r="H15" s="22" cm="1">
        <f t="array" aca="1" ref="H15" ca="1">IF(AND(NOT($D$2),$E$2),INDIRECT("'"&amp;$D$1&amp;"'!"&amp;ADDRESS(ROW(),COLUMN()))/'TokyoGas(TKGSY)'!P$105,
IF(AND(NOT($D$2),NOT($E$2)),INDIRECT("'"&amp;$D$1&amp;"'!"&amp;ADDRESS(ROW(),COLUMN()))/'TokyoGas(TKGSY)'!P$106,
INDIRECT("'"&amp;$D$1&amp;"'!"&amp;ADDRESS(ROW(),COLUMN()))))</f>
        <v>1696.296</v>
      </c>
      <c r="I15" s="6"/>
      <c r="J15" s="6"/>
      <c r="K15" s="6"/>
      <c r="L15" s="148" t="s">
        <v>1</v>
      </c>
      <c r="M15" s="139"/>
      <c r="N15" s="139"/>
      <c r="O15" s="139"/>
      <c r="P15" s="140"/>
    </row>
    <row r="16" spans="2:16">
      <c r="B16" s="6" t="s">
        <v>2</v>
      </c>
      <c r="C16" s="199" cm="1">
        <f t="array" aca="1" ref="C16" ca="1">INDIRECT("'"&amp;$D$1&amp;"'!"&amp;ADDRESS(ROW(),COLUMN()))</f>
        <v>3.9706348469475933E-2</v>
      </c>
      <c r="D16" s="118"/>
      <c r="E16" s="6" t="s">
        <v>236</v>
      </c>
      <c r="H16" s="194" cm="1">
        <f t="array" aca="1" ref="H16" ca="1">INDIRECT("'"&amp;$D$1&amp;"'!"&amp;ADDRESS(ROW(),COLUMN()))</f>
        <v>-2.7950310559006208E-2</v>
      </c>
      <c r="I16" s="6"/>
      <c r="J16" s="6"/>
      <c r="K16" s="7"/>
      <c r="L16" s="149" cm="1">
        <f t="array" aca="1" ref="L16" ca="1">INDIRECT("'"&amp;$D$1&amp;"'!"&amp;ADDRESS(ROW(),COLUMN()))</f>
        <v>-8.0000000000000002E-3</v>
      </c>
      <c r="M16" s="144" cm="1">
        <f t="array" aca="1" ref="M16" ca="1">INDIRECT("'"&amp;$D$1&amp;"'!"&amp;ADDRESS(ROW(),COLUMN()))</f>
        <v>2E-3</v>
      </c>
      <c r="N16" s="144" cm="1">
        <f t="array" aca="1" ref="N16" ca="1">INDIRECT("'"&amp;$D$1&amp;"'!"&amp;ADDRESS(ROW(),COLUMN()))</f>
        <v>1.2E-2</v>
      </c>
      <c r="O16" s="144" cm="1">
        <f t="array" aca="1" ref="O16" ca="1">INDIRECT("'"&amp;$D$1&amp;"'!"&amp;ADDRESS(ROW(),COLUMN()))</f>
        <v>2.1999999999999999E-2</v>
      </c>
      <c r="P16" s="147" cm="1">
        <f t="array" aca="1" ref="P16" ca="1">INDIRECT("'"&amp;$D$1&amp;"'!"&amp;ADDRESS(ROW(),COLUMN()))</f>
        <v>3.2000000000000001E-2</v>
      </c>
    </row>
    <row r="17" spans="1:16">
      <c r="B17" s="6" t="s">
        <v>222</v>
      </c>
      <c r="C17" s="122">
        <f ca="1">P9*(1+C15)/(C16-C15)</f>
        <v>24248.567243999787</v>
      </c>
      <c r="D17" s="22"/>
      <c r="E17" s="6" t="s">
        <v>237</v>
      </c>
      <c r="H17" s="195" cm="1">
        <f t="array" aca="1" ref="H17" ca="1">INDIRECT("'"&amp;$D$1&amp;"'!"&amp;ADDRESS(ROW(),COLUMN()))</f>
        <v>0.23923892728431698</v>
      </c>
      <c r="I17" s="6"/>
      <c r="J17" s="145" t="s">
        <v>2</v>
      </c>
      <c r="K17" s="146" cm="1">
        <f t="array" aca="1" ref="K17" ca="1">INDIRECT("'"&amp;$D$1&amp;"'!"&amp;ADDRESS(ROW(),COLUMN()))</f>
        <v>1.9706348469475929E-2</v>
      </c>
      <c r="L17" s="153">
        <f t="shared" ref="L17:P21" ca="1" si="2">((($P$9*(1+L$16)/($K17-L$16))/(1+$K17)^$P$10)+$C$14+$C$20-$C$21-$C$22)/$C$24</f>
        <v>203.85370772765597</v>
      </c>
      <c r="M17" s="154">
        <f t="shared" ca="1" si="2"/>
        <v>317.6382811258581</v>
      </c>
      <c r="N17" s="154">
        <f t="shared" ca="1" si="2"/>
        <v>726.72373236235546</v>
      </c>
      <c r="O17" s="154">
        <f t="shared" ca="1" si="2"/>
        <v>-2431.3015635426405</v>
      </c>
      <c r="P17" s="155">
        <f t="shared" ca="1" si="2"/>
        <v>-451.67465243022895</v>
      </c>
    </row>
    <row r="18" spans="1:16">
      <c r="B18" s="6" t="s">
        <v>223</v>
      </c>
      <c r="C18" s="122">
        <f ca="1">C17/(1+C16)^P10</f>
        <v>19958.716250464837</v>
      </c>
      <c r="D18" s="22"/>
      <c r="E18" s="25" t="s">
        <v>238</v>
      </c>
      <c r="G18" s="3"/>
      <c r="H18" s="196" cm="1">
        <f t="array" aca="1" ref="H18" ca="1">INDIRECT("'"&amp;$D$1&amp;"'!"&amp;ADDRESS(ROW(),COLUMN()))</f>
        <v>0.34131864846108451</v>
      </c>
      <c r="I18" s="22"/>
      <c r="J18" s="142"/>
      <c r="K18" s="141" cm="1">
        <f t="array" aca="1" ref="K18" ca="1">INDIRECT("'"&amp;$D$1&amp;"'!"&amp;ADDRESS(ROW(),COLUMN()))</f>
        <v>2.9706348469475931E-2</v>
      </c>
      <c r="L18" s="186">
        <f t="shared" ca="1" si="2"/>
        <v>145.01532878924107</v>
      </c>
      <c r="M18" s="156">
        <f ca="1">((($P$9*(1+M$16)/($K18-M$16))/(1+$K18)^$P$10)+$C$14+$C$20-$C$21-$C$22)/$C$24</f>
        <v>196.40133288174627</v>
      </c>
      <c r="N18" s="156">
        <f t="shared" ca="1" si="2"/>
        <v>305.8298003100316</v>
      </c>
      <c r="O18" s="156">
        <f t="shared" ca="1" si="2"/>
        <v>699.25390552116721</v>
      </c>
      <c r="P18" s="157">
        <f t="shared" ca="1" si="2"/>
        <v>-2337.8701782617181</v>
      </c>
    </row>
    <row r="19" spans="1:16">
      <c r="B19" s="6" t="s">
        <v>224</v>
      </c>
      <c r="C19" s="122">
        <f ca="1">SUM(C14,C18)</f>
        <v>22506.30804823968</v>
      </c>
      <c r="D19" s="22"/>
      <c r="E19" s="37" t="s">
        <v>239</v>
      </c>
      <c r="F19" s="46"/>
      <c r="G19" s="46"/>
      <c r="H19" s="197" cm="1">
        <f t="array" aca="1" ref="H19" ca="1">INDIRECT("'"&amp;$D$1&amp;"'!"&amp;ADDRESS(ROW(),COLUMN()))</f>
        <v>-2.1263508243606045E-2</v>
      </c>
      <c r="I19" s="6"/>
      <c r="J19" s="142"/>
      <c r="K19" s="141" cm="1">
        <f t="array" aca="1" ref="K19" ca="1">INDIRECT("'"&amp;$D$1&amp;"'!"&amp;ADDRESS(ROW(),COLUMN()))</f>
        <v>3.9706348469475933E-2</v>
      </c>
      <c r="L19" s="186">
        <f t="shared" ca="1" si="2"/>
        <v>111.15071103326609</v>
      </c>
      <c r="M19" s="156">
        <f t="shared" ca="1" si="2"/>
        <v>139.86240003932264</v>
      </c>
      <c r="N19" s="187">
        <f t="shared" ca="1" si="2"/>
        <v>189.29980036579244</v>
      </c>
      <c r="O19" s="156">
        <f t="shared" ca="1" si="2"/>
        <v>294.57864130515327</v>
      </c>
      <c r="P19" s="157">
        <f t="shared" ca="1" si="2"/>
        <v>673.08374850112023</v>
      </c>
    </row>
    <row r="20" spans="1:16">
      <c r="B20" s="20" t="s">
        <v>302</v>
      </c>
      <c r="C20" s="122" cm="1">
        <f t="array" aca="1" ref="C20" ca="1">IF(AND($D$2,$E$2),INDIRECT("'"&amp;$D$1&amp;"'!"&amp;ADDRESS(ROW(),COLUMN())),INDIRECT("'"&amp;$D$1&amp;"'!"&amp;ADDRESS(ROW(),COLUMN()))/'TokyoGas(TKGSY)'!$P$105)</f>
        <v>12.965991997488477</v>
      </c>
      <c r="D20" s="22"/>
      <c r="E20" s="6" t="s">
        <v>311</v>
      </c>
      <c r="H20" s="195" cm="1">
        <f t="array" aca="1" ref="H20" ca="1">INDIRECT("'"&amp;$D$1&amp;"'!"&amp;ADDRESS(ROW(),COLUMN()))</f>
        <v>2.325E-2</v>
      </c>
      <c r="I20" s="6"/>
      <c r="J20" s="142"/>
      <c r="K20" s="141" cm="1">
        <f t="array" aca="1" ref="K20" ca="1">INDIRECT("'"&amp;$D$1&amp;"'!"&amp;ADDRESS(ROW(),COLUMN()))</f>
        <v>4.9706348469475935E-2</v>
      </c>
      <c r="L20" s="186">
        <f t="shared" ca="1" si="2"/>
        <v>89.26006147989861</v>
      </c>
      <c r="M20" s="156">
        <f t="shared" ca="1" si="2"/>
        <v>107.31604344166909</v>
      </c>
      <c r="N20" s="156">
        <f t="shared" ca="1" si="2"/>
        <v>134.9491829350882</v>
      </c>
      <c r="O20" s="156">
        <f t="shared" ca="1" si="2"/>
        <v>182.52947607371792</v>
      </c>
      <c r="P20" s="157">
        <f t="shared" ca="1" si="2"/>
        <v>283.85353599820263</v>
      </c>
    </row>
    <row r="21" spans="1:16">
      <c r="B21" s="20" t="s">
        <v>303</v>
      </c>
      <c r="C21" s="122">
        <f ca="1">H15</f>
        <v>1696.296</v>
      </c>
      <c r="D21" s="22"/>
      <c r="E21" s="6" t="s">
        <v>241</v>
      </c>
      <c r="H21" s="195" cm="1">
        <f t="array" aca="1" ref="H21" ca="1">INDIRECT("'"&amp;$D$1&amp;"'!"&amp;ADDRESS(ROW(),COLUMN()))</f>
        <v>6.2E-2</v>
      </c>
      <c r="I21" s="6"/>
      <c r="J21" s="143"/>
      <c r="K21" s="147" cm="1">
        <f t="array" aca="1" ref="K21" ca="1">INDIRECT("'"&amp;$D$1&amp;"'!"&amp;ADDRESS(ROW(),COLUMN()))</f>
        <v>5.9706348469475937E-2</v>
      </c>
      <c r="L21" s="188">
        <f t="shared" ca="1" si="2"/>
        <v>74.024737818296487</v>
      </c>
      <c r="M21" s="158">
        <f t="shared" ca="1" si="2"/>
        <v>86.273636627159448</v>
      </c>
      <c r="N21" s="158">
        <f t="shared" ca="1" si="2"/>
        <v>103.65765862269859</v>
      </c>
      <c r="O21" s="158">
        <f t="shared" ca="1" si="2"/>
        <v>130.26242073292261</v>
      </c>
      <c r="P21" s="159">
        <f t="shared" ca="1" si="2"/>
        <v>176.07199587690641</v>
      </c>
    </row>
    <row r="22" spans="1:16">
      <c r="B22" s="27" t="s">
        <v>304</v>
      </c>
      <c r="C22" s="136" cm="1">
        <f t="array" aca="1" ref="C22" ca="1">INDIRECT("'"&amp;$D$1&amp;"'!"&amp;ADDRESS(ROW(),COLUMN()))</f>
        <v>0</v>
      </c>
      <c r="D22" s="22"/>
      <c r="E22" s="6" t="s">
        <v>242</v>
      </c>
      <c r="H22" s="195" cm="1">
        <f t="array" aca="1" ref="H22" ca="1">INDIRECT("'"&amp;$D$1&amp;"'!"&amp;ADDRESS(ROW(),COLUMN()))</f>
        <v>3.875E-2</v>
      </c>
      <c r="I22" s="6"/>
      <c r="J22" s="6"/>
      <c r="K22" s="6"/>
      <c r="L22" s="6"/>
      <c r="M22" s="6"/>
      <c r="N22" s="6"/>
      <c r="O22" s="6"/>
      <c r="P22" s="6"/>
    </row>
    <row r="23" spans="1:16">
      <c r="B23" s="44" t="s">
        <v>225</v>
      </c>
      <c r="C23" s="123">
        <f ca="1">C19+C20-C21-C22</f>
        <v>20822.978040237169</v>
      </c>
      <c r="D23" s="22"/>
      <c r="E23" s="6" t="s">
        <v>243</v>
      </c>
      <c r="H23" s="198" cm="1">
        <f t="array" aca="1" ref="H23" ca="1">INDIRECT("'"&amp;$D$1&amp;"'!"&amp;ADDRESS(ROW(),COLUMN()))</f>
        <v>1.24</v>
      </c>
      <c r="I23" s="6"/>
      <c r="J23" s="6"/>
      <c r="K23" s="6"/>
      <c r="L23" s="6"/>
      <c r="M23" s="6"/>
      <c r="N23" s="6"/>
      <c r="O23" s="6"/>
      <c r="P23" s="6"/>
    </row>
    <row r="24" spans="1:16">
      <c r="A24" s="121" t="s">
        <v>27</v>
      </c>
      <c r="B24" s="44" t="s">
        <v>226</v>
      </c>
      <c r="C24" s="193" cm="1">
        <f t="array" aca="1" ref="C24" ca="1">INDIRECT("'"&amp;$D$1&amp;"'!"&amp;ADDRESS(ROW(),COLUMN()))</f>
        <v>110</v>
      </c>
      <c r="D24" s="71"/>
      <c r="E24" s="25" t="s">
        <v>244</v>
      </c>
      <c r="F24" s="3"/>
      <c r="G24" s="3"/>
      <c r="H24" s="196" cm="1">
        <f t="array" aca="1" ref="H24" ca="1">INDIRECT("'"&amp;$D$1&amp;"'!"&amp;ADDRESS(ROW(),COLUMN()))</f>
        <v>0.65868135153891549</v>
      </c>
      <c r="I24" s="6"/>
      <c r="J24" s="6"/>
      <c r="K24" s="6"/>
      <c r="L24" s="6"/>
      <c r="M24" s="6"/>
      <c r="N24" s="6"/>
      <c r="O24" s="6"/>
      <c r="P24" s="6"/>
    </row>
    <row r="25" spans="1:16">
      <c r="C25" s="124"/>
      <c r="E25" s="37" t="s">
        <v>245</v>
      </c>
      <c r="F25" s="46"/>
      <c r="G25" s="46"/>
      <c r="H25" s="197" cm="1">
        <f t="array" aca="1" ref="H25" ca="1">INDIRECT("'"&amp;$D$1&amp;"'!"&amp;ADDRESS(ROW(),COLUMN()))</f>
        <v>7.1300000000000002E-2</v>
      </c>
      <c r="I25" s="6"/>
      <c r="J25" s="6"/>
      <c r="K25" s="6"/>
      <c r="L25" s="6"/>
      <c r="M25" s="6"/>
      <c r="N25" s="6"/>
      <c r="O25" s="6"/>
      <c r="P25" s="6"/>
    </row>
    <row r="26" spans="1:16">
      <c r="B26" s="28" t="s">
        <v>227</v>
      </c>
      <c r="C26" s="125">
        <f ca="1">C23/C24</f>
        <v>189.29980036579244</v>
      </c>
      <c r="D26" s="24"/>
      <c r="E26" s="28" t="s">
        <v>2</v>
      </c>
      <c r="F26" s="48"/>
      <c r="G26" s="48"/>
      <c r="H26" s="48" cm="1">
        <f t="array" aca="1" ref="H26" ca="1">INDIRECT("'"&amp;$D$1&amp;"'!"&amp;ADDRESS(ROW(),COLUMN()))</f>
        <v>3.9706348469475933E-2</v>
      </c>
      <c r="I26" s="6"/>
      <c r="J26" s="6"/>
      <c r="K26" s="6"/>
      <c r="L26" s="6"/>
      <c r="M26" s="6"/>
      <c r="N26" s="6"/>
      <c r="O26" s="6"/>
      <c r="P26" s="6"/>
    </row>
    <row r="27" spans="1:16">
      <c r="B27" s="26" t="s">
        <v>330</v>
      </c>
      <c r="C27" s="206" cm="1">
        <f t="array" aca="1" ref="C27" ca="1">IF(AND(NOT($D$2),$E$2),INDIRECT("'"&amp;$D$1&amp;"'!"&amp;ADDRESS(ROW(),COLUMN()))/'TokyoGas(TKGSY)'!K$105,
IF(AND(NOT($D$2),NOT($E$2)),INDIRECT("'"&amp;$D$1&amp;"'!"&amp;ADDRESS(ROW(),COLUMN()))/'TokyoGas(TKGSY)'!K$106,
INDIRECT("'"&amp;$D$1&amp;"'!"&amp;ADDRESS(ROW(),COLUMN()))))</f>
        <v>249.86</v>
      </c>
      <c r="D27" s="24"/>
      <c r="E27" s="24"/>
      <c r="I27" s="6"/>
      <c r="J27" s="6"/>
      <c r="K27" s="6"/>
      <c r="L27" s="6"/>
      <c r="M27" s="6"/>
      <c r="N27" s="6"/>
      <c r="O27" s="6"/>
      <c r="P27" s="6"/>
    </row>
    <row r="28" spans="1:16">
      <c r="B28" s="26"/>
      <c r="C28" s="24"/>
      <c r="D28" s="24"/>
      <c r="E28" s="24"/>
      <c r="I28" s="6"/>
      <c r="J28" s="6"/>
      <c r="K28" s="6"/>
      <c r="L28" s="6"/>
      <c r="M28" s="6"/>
      <c r="N28" s="6"/>
      <c r="O28" s="6"/>
      <c r="P28" s="6"/>
    </row>
  </sheetData>
  <mergeCells count="5">
    <mergeCell ref="B13:C13"/>
    <mergeCell ref="E13:H13"/>
    <mergeCell ref="J13:P13"/>
    <mergeCell ref="L15:P15"/>
    <mergeCell ref="J17:J21"/>
  </mergeCells>
  <phoneticPr fontId="2"/>
  <dataValidations count="2">
    <dataValidation type="list" allowBlank="1" showInputMessage="1" showErrorMessage="1" sqref="C1" xr:uid="{DCFA72AE-3C52-49BD-9F30-025AED29FA22}">
      <formula1>$O$1:$O$3</formula1>
    </dataValidation>
    <dataValidation type="list" allowBlank="1" showInputMessage="1" showErrorMessage="1" sqref="C2" xr:uid="{C22798F8-EE94-4548-A74C-7FCD2F0F8A44}">
      <formula1>$N$1:$N$2</formula1>
    </dataValidation>
  </dataValidations>
  <pageMargins left="0.7" right="0.7" top="0.75" bottom="0.75" header="0.3" footer="0.3"/>
  <pageSetup scale="4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6AE7-B74C-4154-AE66-69C1895C0E4F}">
  <sheetPr>
    <tabColor theme="1"/>
  </sheetPr>
  <dimension ref="A1"/>
  <sheetViews>
    <sheetView workbookViewId="0">
      <selection activeCell="E6" sqref="E6"/>
    </sheetView>
  </sheetViews>
  <sheetFormatPr defaultRowHeight="18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3620-5D34-4759-90A5-37AC6F46E2E7}">
  <sheetPr>
    <tabColor theme="3" tint="0.89999084444715716"/>
  </sheetPr>
  <dimension ref="A1:AA106"/>
  <sheetViews>
    <sheetView showGridLines="0" tabSelected="1" topLeftCell="A3" zoomScale="70" zoomScaleNormal="70" workbookViewId="0">
      <selection activeCell="U22" sqref="U22"/>
    </sheetView>
  </sheetViews>
  <sheetFormatPr defaultRowHeight="14.5" outlineLevelRow="1"/>
  <cols>
    <col min="1" max="1" width="3" style="1" customWidth="1"/>
    <col min="2" max="2" width="37.9140625" style="1" customWidth="1"/>
    <col min="3" max="3" width="12.83203125" style="1" bestFit="1" customWidth="1"/>
    <col min="4" max="5" width="8.6640625" style="1"/>
    <col min="6" max="6" width="8.4140625" style="1" customWidth="1"/>
    <col min="7" max="7" width="8.6640625" style="1"/>
    <col min="8" max="8" width="8.33203125" style="1" customWidth="1"/>
    <col min="9" max="9" width="9.33203125" style="1" bestFit="1" customWidth="1"/>
    <col min="10" max="16" width="8.6640625" style="1"/>
    <col min="17" max="17" width="3.83203125" style="1" customWidth="1"/>
    <col min="18" max="16384" width="8.6640625" style="1"/>
  </cols>
  <sheetData>
    <row r="1" spans="2:16" ht="18.5">
      <c r="B1" s="182" t="s">
        <v>317</v>
      </c>
      <c r="C1" s="183" t="s">
        <v>321</v>
      </c>
    </row>
    <row r="2" spans="2:16" ht="18.5">
      <c r="B2" s="182" t="s">
        <v>319</v>
      </c>
      <c r="C2" s="183" t="s">
        <v>322</v>
      </c>
    </row>
    <row r="3" spans="2:16" ht="18.5">
      <c r="B3" s="182" t="s">
        <v>318</v>
      </c>
      <c r="C3" s="184">
        <v>45375</v>
      </c>
    </row>
    <row r="4" spans="2:16" ht="18.5">
      <c r="B4" s="182"/>
      <c r="C4" s="185"/>
    </row>
    <row r="6" spans="2:16" ht="26">
      <c r="B6" s="21" t="s">
        <v>228</v>
      </c>
    </row>
    <row r="7" spans="2:16" outlineLevel="1">
      <c r="B7" s="112" t="s">
        <v>205</v>
      </c>
      <c r="C7" s="112"/>
      <c r="D7" s="112"/>
      <c r="E7" s="112">
        <v>2017</v>
      </c>
      <c r="F7" s="112">
        <f>E7+1</f>
        <v>2018</v>
      </c>
      <c r="G7" s="112">
        <f t="shared" ref="G7:P7" si="0">F7+1</f>
        <v>2019</v>
      </c>
      <c r="H7" s="112">
        <f t="shared" si="0"/>
        <v>2020</v>
      </c>
      <c r="I7" s="112">
        <f t="shared" si="0"/>
        <v>2021</v>
      </c>
      <c r="J7" s="112">
        <f t="shared" si="0"/>
        <v>2022</v>
      </c>
      <c r="K7" s="112">
        <f t="shared" si="0"/>
        <v>2023</v>
      </c>
      <c r="L7" s="112">
        <f t="shared" si="0"/>
        <v>2024</v>
      </c>
      <c r="M7" s="112">
        <f t="shared" si="0"/>
        <v>2025</v>
      </c>
      <c r="N7" s="112">
        <f t="shared" si="0"/>
        <v>2026</v>
      </c>
      <c r="O7" s="112">
        <f t="shared" si="0"/>
        <v>2027</v>
      </c>
      <c r="P7" s="112">
        <f t="shared" si="0"/>
        <v>2028</v>
      </c>
    </row>
    <row r="8" spans="2:16" outlineLevel="1">
      <c r="B8" s="104" t="s">
        <v>206</v>
      </c>
      <c r="C8" s="105"/>
      <c r="D8" s="106">
        <v>42735</v>
      </c>
      <c r="E8" s="107">
        <v>43100</v>
      </c>
      <c r="F8" s="107">
        <v>43465</v>
      </c>
      <c r="G8" s="107">
        <v>43830</v>
      </c>
      <c r="H8" s="107">
        <v>44196</v>
      </c>
      <c r="I8" s="107">
        <v>44561</v>
      </c>
      <c r="J8" s="107">
        <v>44926</v>
      </c>
      <c r="K8" s="107">
        <v>45291</v>
      </c>
      <c r="L8" s="108">
        <v>45657</v>
      </c>
      <c r="M8" s="108">
        <v>46022</v>
      </c>
      <c r="N8" s="108">
        <v>46387</v>
      </c>
      <c r="O8" s="108">
        <v>46752</v>
      </c>
      <c r="P8" s="108">
        <v>47118</v>
      </c>
    </row>
    <row r="9" spans="2:16" outlineLevel="1">
      <c r="B9" s="6" t="s">
        <v>213</v>
      </c>
      <c r="C9" s="39"/>
      <c r="D9" s="72"/>
      <c r="E9" s="174"/>
      <c r="F9" s="9"/>
      <c r="G9" s="22">
        <f t="shared" ref="F9:P9" si="1">G51</f>
        <v>133119.09925529611</v>
      </c>
      <c r="H9" s="22">
        <f t="shared" si="1"/>
        <v>120456</v>
      </c>
      <c r="I9" s="22">
        <f t="shared" si="1"/>
        <v>132788</v>
      </c>
      <c r="J9" s="22">
        <f t="shared" si="1"/>
        <v>-67715</v>
      </c>
      <c r="K9" s="22">
        <f t="shared" si="1"/>
        <v>364971</v>
      </c>
      <c r="L9" s="96">
        <f t="shared" si="1"/>
        <v>181168.9881130484</v>
      </c>
      <c r="M9" s="96">
        <f t="shared" si="1"/>
        <v>107058.86730113724</v>
      </c>
      <c r="N9" s="96">
        <f t="shared" si="1"/>
        <v>109025.29888960876</v>
      </c>
      <c r="O9" s="96">
        <f t="shared" si="1"/>
        <v>106238.78754621049</v>
      </c>
      <c r="P9" s="96">
        <f t="shared" si="1"/>
        <v>99082.848374084948</v>
      </c>
    </row>
    <row r="10" spans="2:16" outlineLevel="1">
      <c r="B10" s="25" t="s">
        <v>218</v>
      </c>
      <c r="C10" s="30"/>
      <c r="D10" s="74"/>
      <c r="E10" s="175"/>
      <c r="F10" s="175"/>
      <c r="G10" s="25"/>
      <c r="H10" s="25"/>
      <c r="I10" s="25"/>
      <c r="J10" s="25"/>
      <c r="K10" s="25"/>
      <c r="L10" s="111">
        <v>1</v>
      </c>
      <c r="M10" s="111">
        <f>L10+1</f>
        <v>2</v>
      </c>
      <c r="N10" s="111">
        <f t="shared" ref="N10:P10" si="2">M10+1</f>
        <v>3</v>
      </c>
      <c r="O10" s="111">
        <f t="shared" si="2"/>
        <v>4</v>
      </c>
      <c r="P10" s="111">
        <f t="shared" si="2"/>
        <v>5</v>
      </c>
    </row>
    <row r="11" spans="2:16" outlineLevel="1">
      <c r="B11" s="37" t="s">
        <v>219</v>
      </c>
      <c r="C11" s="42"/>
      <c r="D11" s="75"/>
      <c r="E11" s="75"/>
      <c r="F11" s="75"/>
      <c r="G11" s="37"/>
      <c r="H11" s="37"/>
      <c r="I11" s="37"/>
      <c r="J11" s="37"/>
      <c r="K11" s="37"/>
      <c r="L11" s="100">
        <f>L9/(1+$C$16)^L10</f>
        <v>174673.78387110154</v>
      </c>
      <c r="M11" s="100">
        <f t="shared" ref="M11:P11" si="3">M9/(1+$C$16)^M10</f>
        <v>99520.003669125479</v>
      </c>
      <c r="N11" s="100">
        <f t="shared" si="3"/>
        <v>97714.473141919341</v>
      </c>
      <c r="O11" s="100">
        <f t="shared" si="3"/>
        <v>91803.361557979486</v>
      </c>
      <c r="P11" s="100">
        <f t="shared" si="3"/>
        <v>82550.143186050118</v>
      </c>
    </row>
    <row r="12" spans="2:16" outlineLevel="1">
      <c r="B12" s="6"/>
      <c r="C12" s="6"/>
      <c r="D12" s="6"/>
      <c r="E12" s="6"/>
      <c r="I12" s="6"/>
      <c r="J12" s="6"/>
      <c r="K12" s="6"/>
      <c r="L12" s="6"/>
      <c r="M12" s="6"/>
      <c r="N12" s="6"/>
      <c r="O12" s="6"/>
      <c r="P12" s="6"/>
    </row>
    <row r="13" spans="2:16" ht="18" customHeight="1" outlineLevel="1">
      <c r="B13" s="119" t="s">
        <v>220</v>
      </c>
      <c r="C13" s="120"/>
      <c r="D13" s="5"/>
      <c r="E13" s="119" t="s">
        <v>233</v>
      </c>
      <c r="F13" s="119"/>
      <c r="G13" s="119"/>
      <c r="H13" s="119"/>
      <c r="I13" s="6"/>
      <c r="J13" s="119" t="s">
        <v>0</v>
      </c>
      <c r="K13" s="119"/>
      <c r="L13" s="119"/>
      <c r="M13" s="119"/>
      <c r="N13" s="119"/>
      <c r="O13" s="119"/>
      <c r="P13" s="119"/>
    </row>
    <row r="14" spans="2:16" outlineLevel="1">
      <c r="B14" s="6" t="s">
        <v>221</v>
      </c>
      <c r="C14" s="122">
        <f>SUM(L11:P11)</f>
        <v>546261.7654261759</v>
      </c>
      <c r="D14" s="116" t="s">
        <v>127</v>
      </c>
      <c r="E14" s="6" t="s">
        <v>234</v>
      </c>
      <c r="H14" s="22">
        <f>INDEX('BS(TKGSY)'!$C$4:$K$100,MATCH($D14,'BS(TKGSY)'!$B$4:$B$100,0),MATCH(K$7,'BS(TKGSY)'!$C$3:$K$3,0))</f>
        <v>1449094</v>
      </c>
      <c r="I14" s="6"/>
      <c r="J14" s="6"/>
      <c r="K14" s="6"/>
      <c r="L14" s="6"/>
      <c r="M14" s="6"/>
      <c r="N14" s="6"/>
      <c r="O14" s="6"/>
      <c r="P14" s="6"/>
    </row>
    <row r="15" spans="2:16" outlineLevel="1">
      <c r="B15" s="6" t="s">
        <v>1</v>
      </c>
      <c r="C15" s="161">
        <v>6.0000000000000001E-3</v>
      </c>
      <c r="D15" s="117" t="s">
        <v>315</v>
      </c>
      <c r="E15" s="6" t="s">
        <v>314</v>
      </c>
      <c r="H15" s="176">
        <f>'BS(TKGSY)'!G39+'BS(TKGSY)'!G40</f>
        <v>1156238</v>
      </c>
      <c r="I15" s="6"/>
      <c r="J15" s="6"/>
      <c r="K15" s="6"/>
      <c r="L15" s="148" t="s">
        <v>1</v>
      </c>
      <c r="M15" s="139"/>
      <c r="N15" s="139"/>
      <c r="O15" s="139"/>
      <c r="P15" s="140"/>
    </row>
    <row r="16" spans="2:16" outlineLevel="1">
      <c r="B16" s="6" t="s">
        <v>2</v>
      </c>
      <c r="C16" s="137">
        <f>H26</f>
        <v>3.7184768647022144E-2</v>
      </c>
      <c r="D16" s="118" t="s">
        <v>17</v>
      </c>
      <c r="E16" s="6" t="s">
        <v>236</v>
      </c>
      <c r="H16" s="178">
        <f>'PL(TKGSY)'!G20/H15</f>
        <v>1.3092460202830213E-2</v>
      </c>
      <c r="I16" s="6"/>
      <c r="J16" s="6"/>
      <c r="K16" s="7"/>
      <c r="L16" s="149">
        <f>M16-0.01</f>
        <v>-1.4E-2</v>
      </c>
      <c r="M16" s="144">
        <f>N16-0.01</f>
        <v>-4.0000000000000001E-3</v>
      </c>
      <c r="N16" s="144">
        <f>C15</f>
        <v>6.0000000000000001E-3</v>
      </c>
      <c r="O16" s="144">
        <f>N16+0.01</f>
        <v>1.6E-2</v>
      </c>
      <c r="P16" s="147">
        <f>O16+0.01</f>
        <v>2.6000000000000002E-2</v>
      </c>
    </row>
    <row r="17" spans="1:16" outlineLevel="1">
      <c r="B17" s="6" t="s">
        <v>222</v>
      </c>
      <c r="C17" s="122">
        <f>P9*(1+C15)/(C16-C15)</f>
        <v>3196347.1203704989</v>
      </c>
      <c r="D17" s="22"/>
      <c r="E17" s="6" t="s">
        <v>237</v>
      </c>
      <c r="H17" s="23">
        <f>K43/K42</f>
        <v>0.30027973056655521</v>
      </c>
      <c r="I17" s="6"/>
      <c r="J17" s="145" t="s">
        <v>2</v>
      </c>
      <c r="K17" s="146">
        <f>K18-0.01</f>
        <v>1.718476864702214E-2</v>
      </c>
      <c r="L17" s="153">
        <f t="shared" ref="L17:P21" si="4">((($P$9*(1+L$16)/($K17-L$16))/(1+$K17)^$P$10)+$C$14+$C$20-$C$21-$C$22)/$C$24</f>
        <v>6635.3279949258767</v>
      </c>
      <c r="M17" s="154">
        <f t="shared" si="4"/>
        <v>10052.359480458468</v>
      </c>
      <c r="N17" s="154">
        <f t="shared" si="4"/>
        <v>19579.542357351937</v>
      </c>
      <c r="O17" s="154">
        <f t="shared" si="4"/>
        <v>189934.45984453565</v>
      </c>
      <c r="P17" s="155">
        <f t="shared" si="4"/>
        <v>-26211.919493885493</v>
      </c>
    </row>
    <row r="18" spans="1:16" outlineLevel="1">
      <c r="B18" s="6" t="s">
        <v>223</v>
      </c>
      <c r="C18" s="122">
        <f>C17/(1+C16)^P10</f>
        <v>2663012.9915392678</v>
      </c>
      <c r="D18" s="22"/>
      <c r="E18" s="25" t="s">
        <v>238</v>
      </c>
      <c r="G18" s="3"/>
      <c r="H18" s="35">
        <f>H15/SUM(H14:H15)</f>
        <v>0.44379679825834095</v>
      </c>
      <c r="I18" s="22"/>
      <c r="J18" s="142"/>
      <c r="K18" s="141">
        <f>K19-0.01</f>
        <v>2.7184768647022142E-2</v>
      </c>
      <c r="L18" s="186">
        <f t="shared" si="4"/>
        <v>4677.9074316880588</v>
      </c>
      <c r="M18" s="156">
        <f>((($P$9*(1+M$16)/($K18-M$16))/(1+$K18)^$P$10)+$C$14+$C$20-$C$21-$C$22)/$C$24</f>
        <v>6368.1194492838049</v>
      </c>
      <c r="N18" s="156">
        <f t="shared" si="4"/>
        <v>9654.0175428125385</v>
      </c>
      <c r="O18" s="156">
        <f t="shared" si="4"/>
        <v>18815.58136931749</v>
      </c>
      <c r="P18" s="157">
        <f t="shared" si="4"/>
        <v>182632.88915954239</v>
      </c>
    </row>
    <row r="19" spans="1:16" outlineLevel="1">
      <c r="B19" s="6" t="s">
        <v>224</v>
      </c>
      <c r="C19" s="122">
        <f>SUM(C14,C18)</f>
        <v>3209274.7569654435</v>
      </c>
      <c r="D19" s="22"/>
      <c r="E19" s="37" t="s">
        <v>239</v>
      </c>
      <c r="F19" s="46"/>
      <c r="G19" s="46"/>
      <c r="H19" s="47">
        <f>H16*(1-H17)</f>
        <v>9.1610597806710097E-3</v>
      </c>
      <c r="I19" s="6"/>
      <c r="J19" s="142"/>
      <c r="K19" s="141">
        <f>H26</f>
        <v>3.7184768647022144E-2</v>
      </c>
      <c r="L19" s="186">
        <f t="shared" si="4"/>
        <v>3496.912223436143</v>
      </c>
      <c r="M19" s="156">
        <f t="shared" si="4"/>
        <v>4487.5450823026085</v>
      </c>
      <c r="N19" s="187">
        <f t="shared" si="4"/>
        <v>6113.50916333035</v>
      </c>
      <c r="O19" s="156">
        <f t="shared" si="4"/>
        <v>9274.5044812994511</v>
      </c>
      <c r="P19" s="157">
        <f t="shared" si="4"/>
        <v>18087.821126112787</v>
      </c>
    </row>
    <row r="20" spans="1:16" outlineLevel="1">
      <c r="B20" s="20" t="s">
        <v>302</v>
      </c>
      <c r="C20" s="122">
        <f>K84</f>
        <v>453502</v>
      </c>
      <c r="D20" s="22"/>
      <c r="E20" s="6" t="s">
        <v>311</v>
      </c>
      <c r="H20" s="152">
        <v>7.3899999999999999E-3</v>
      </c>
      <c r="I20" s="6"/>
      <c r="J20" s="142"/>
      <c r="K20" s="141">
        <f>K19+0.01</f>
        <v>4.7184768647022146E-2</v>
      </c>
      <c r="L20" s="186">
        <f t="shared" si="4"/>
        <v>2711.0116649662405</v>
      </c>
      <c r="M20" s="156">
        <f t="shared" si="4"/>
        <v>3352.7194267602272</v>
      </c>
      <c r="N20" s="156">
        <f t="shared" si="4"/>
        <v>4306.0510159423447</v>
      </c>
      <c r="O20" s="156">
        <f t="shared" si="4"/>
        <v>5870.791078262615</v>
      </c>
      <c r="P20" s="157">
        <f t="shared" si="4"/>
        <v>8912.7623422936667</v>
      </c>
    </row>
    <row r="21" spans="1:16" outlineLevel="1">
      <c r="B21" s="20" t="s">
        <v>303</v>
      </c>
      <c r="C21" s="122">
        <f>H15</f>
        <v>1156238</v>
      </c>
      <c r="D21" s="22"/>
      <c r="E21" s="6" t="s">
        <v>241</v>
      </c>
      <c r="H21" s="152">
        <v>0.11169999999999999</v>
      </c>
      <c r="I21" s="6"/>
      <c r="J21" s="143"/>
      <c r="K21" s="147">
        <f>K20+0.01</f>
        <v>5.7184768647022148E-2</v>
      </c>
      <c r="L21" s="188">
        <f t="shared" si="4"/>
        <v>2153.1921659786994</v>
      </c>
      <c r="M21" s="158">
        <f t="shared" si="4"/>
        <v>2597.3942956669939</v>
      </c>
      <c r="N21" s="158">
        <f t="shared" si="4"/>
        <v>3215.1645165785103</v>
      </c>
      <c r="O21" s="158">
        <f t="shared" si="4"/>
        <v>4132.9341019182575</v>
      </c>
      <c r="P21" s="159">
        <f t="shared" si="4"/>
        <v>5639.3048699237515</v>
      </c>
    </row>
    <row r="22" spans="1:16" outlineLevel="1">
      <c r="B22" s="27" t="s">
        <v>304</v>
      </c>
      <c r="C22" s="136"/>
      <c r="D22" s="22"/>
      <c r="E22" s="6" t="s">
        <v>242</v>
      </c>
      <c r="H22" s="23">
        <f>H21-H20</f>
        <v>0.10431</v>
      </c>
      <c r="I22" s="6"/>
      <c r="J22" s="6"/>
      <c r="K22" s="6"/>
      <c r="L22" s="6"/>
      <c r="M22" s="6"/>
      <c r="N22" s="6"/>
      <c r="O22" s="6"/>
      <c r="P22" s="6"/>
    </row>
    <row r="23" spans="1:16" outlineLevel="1">
      <c r="B23" s="44" t="s">
        <v>225</v>
      </c>
      <c r="C23" s="123">
        <f>C19+C20-C21-C22</f>
        <v>2506538.7569654435</v>
      </c>
      <c r="D23" s="22"/>
      <c r="E23" s="6" t="s">
        <v>243</v>
      </c>
      <c r="H23" s="160">
        <v>0.5</v>
      </c>
      <c r="I23" s="6"/>
      <c r="J23" s="6"/>
      <c r="K23" s="6"/>
      <c r="L23" s="6"/>
      <c r="M23" s="6"/>
      <c r="N23" s="6"/>
      <c r="O23" s="6"/>
      <c r="P23" s="6"/>
    </row>
    <row r="24" spans="1:16" outlineLevel="1">
      <c r="A24" s="121" t="s">
        <v>27</v>
      </c>
      <c r="B24" s="44" t="s">
        <v>226</v>
      </c>
      <c r="C24" s="177">
        <v>410</v>
      </c>
      <c r="D24" s="71"/>
      <c r="E24" s="25" t="s">
        <v>244</v>
      </c>
      <c r="F24" s="3"/>
      <c r="G24" s="3"/>
      <c r="H24" s="35">
        <f>H14/SUM(H14:H15)</f>
        <v>0.55620320174165905</v>
      </c>
      <c r="I24" s="6"/>
      <c r="J24" s="6"/>
      <c r="K24" s="6"/>
      <c r="L24" s="6"/>
      <c r="M24" s="6"/>
      <c r="N24" s="6"/>
      <c r="O24" s="6"/>
      <c r="P24" s="6"/>
    </row>
    <row r="25" spans="1:16" outlineLevel="1">
      <c r="C25" s="124"/>
      <c r="E25" s="37" t="s">
        <v>245</v>
      </c>
      <c r="F25" s="46"/>
      <c r="G25" s="46"/>
      <c r="H25" s="47">
        <f>H20+H23*H22</f>
        <v>5.9545000000000001E-2</v>
      </c>
      <c r="I25" s="6"/>
      <c r="J25" s="6"/>
      <c r="K25" s="6"/>
      <c r="L25" s="6"/>
      <c r="M25" s="6"/>
      <c r="N25" s="6"/>
      <c r="O25" s="6"/>
      <c r="P25" s="6"/>
    </row>
    <row r="26" spans="1:16" outlineLevel="1">
      <c r="B26" s="28" t="s">
        <v>227</v>
      </c>
      <c r="C26" s="138">
        <f>C23/C24</f>
        <v>6113.50916333035</v>
      </c>
      <c r="D26" s="24"/>
      <c r="E26" s="28" t="s">
        <v>2</v>
      </c>
      <c r="F26" s="48"/>
      <c r="G26" s="48"/>
      <c r="H26" s="48">
        <f>H18*H19+H24*H25</f>
        <v>3.7184768647022144E-2</v>
      </c>
      <c r="I26" s="6"/>
      <c r="J26" s="6"/>
      <c r="K26" s="6"/>
      <c r="L26" s="6"/>
      <c r="M26" s="6"/>
      <c r="N26" s="6"/>
      <c r="O26" s="6"/>
      <c r="P26" s="6"/>
    </row>
    <row r="27" spans="1:16" outlineLevel="1">
      <c r="B27" s="26" t="str">
        <f>_xlfn.CONCAT("Trading Share Price as of "&amp;Presentation!$D$3," :")</f>
        <v>Trading Share Price as of 2024/3/24 :</v>
      </c>
      <c r="C27" s="24">
        <v>3561</v>
      </c>
      <c r="D27" s="24"/>
      <c r="E27" s="24"/>
      <c r="I27" s="6"/>
      <c r="J27" s="6"/>
      <c r="K27" s="6"/>
      <c r="L27" s="6"/>
      <c r="M27" s="6"/>
      <c r="N27" s="6"/>
      <c r="O27" s="6"/>
      <c r="P27" s="6"/>
    </row>
    <row r="28" spans="1:16" outlineLevel="1">
      <c r="B28" s="26"/>
      <c r="C28" s="24"/>
      <c r="D28" s="24"/>
      <c r="E28" s="24"/>
      <c r="I28" s="6"/>
      <c r="J28" s="6"/>
      <c r="K28" s="6"/>
      <c r="L28" s="6"/>
      <c r="M28" s="6"/>
      <c r="N28" s="6"/>
      <c r="O28" s="6"/>
      <c r="P28" s="6"/>
    </row>
    <row r="29" spans="1:16" ht="26">
      <c r="B29" s="49" t="s">
        <v>246</v>
      </c>
    </row>
    <row r="30" spans="1:16" outlineLevel="1">
      <c r="B30" s="113" t="s">
        <v>205</v>
      </c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</row>
    <row r="31" spans="1:16" outlineLevel="1">
      <c r="B31" s="109" t="s">
        <v>206</v>
      </c>
      <c r="C31" s="110"/>
      <c r="D31" s="107">
        <f>D$8</f>
        <v>42735</v>
      </c>
      <c r="E31" s="107">
        <f>E$8</f>
        <v>43100</v>
      </c>
      <c r="F31" s="107">
        <f t="shared" ref="F31:P31" si="5">F$8</f>
        <v>43465</v>
      </c>
      <c r="G31" s="107">
        <f t="shared" si="5"/>
        <v>43830</v>
      </c>
      <c r="H31" s="107">
        <f t="shared" si="5"/>
        <v>44196</v>
      </c>
      <c r="I31" s="107">
        <f t="shared" si="5"/>
        <v>44561</v>
      </c>
      <c r="J31" s="107">
        <f t="shared" si="5"/>
        <v>44926</v>
      </c>
      <c r="K31" s="107">
        <f t="shared" si="5"/>
        <v>45291</v>
      </c>
      <c r="L31" s="108">
        <f t="shared" si="5"/>
        <v>45657</v>
      </c>
      <c r="M31" s="108">
        <f t="shared" si="5"/>
        <v>46022</v>
      </c>
      <c r="N31" s="108">
        <f t="shared" si="5"/>
        <v>46387</v>
      </c>
      <c r="O31" s="108">
        <f t="shared" si="5"/>
        <v>46752</v>
      </c>
      <c r="P31" s="108">
        <f t="shared" si="5"/>
        <v>47118</v>
      </c>
    </row>
    <row r="32" spans="1:16" outlineLevel="1">
      <c r="B32" s="6" t="s">
        <v>12</v>
      </c>
      <c r="C32" s="29"/>
      <c r="D32" s="73"/>
      <c r="E32" s="162"/>
      <c r="F32" s="162"/>
      <c r="G32" s="50">
        <f>INDEX('PL(TKGSY)'!$C$4:$K$100,MATCH($B32,'PL(TKGSY)'!$B$4:$B$100,0),MATCH(G$7,'PL(TKGSY)'!$C$3:$K$3,0))</f>
        <v>1962308</v>
      </c>
      <c r="H32" s="50">
        <f>INDEX('PL(TKGSY)'!$C$4:$K$100,MATCH($B32,'PL(TKGSY)'!$B$4:$B$100,0),MATCH(H$7,'PL(TKGSY)'!$C$3:$K$3,0))</f>
        <v>1925235</v>
      </c>
      <c r="I32" s="50">
        <f>INDEX('PL(TKGSY)'!$C$4:$K$100,MATCH($B32,'PL(TKGSY)'!$B$4:$B$100,0),MATCH(I$7,'PL(TKGSY)'!$C$3:$K$3,0))</f>
        <v>1765146</v>
      </c>
      <c r="J32" s="50">
        <f>INDEX('PL(TKGSY)'!$C$4:$K$100,MATCH($B32,'PL(TKGSY)'!$B$4:$B$100,0),MATCH(J$7,'PL(TKGSY)'!$C$3:$K$3,0))</f>
        <v>2154860</v>
      </c>
      <c r="K32" s="50">
        <f>INDEX('PL(TKGSY)'!$C$4:$K$100,MATCH($B32,'PL(TKGSY)'!$B$4:$B$100,0),MATCH(K$7,'PL(TKGSY)'!$C$3:$K$3,0))</f>
        <v>3289634</v>
      </c>
      <c r="L32" s="169">
        <f>J32+(J32*L56)</f>
        <v>2179721.404412271</v>
      </c>
      <c r="M32" s="90">
        <f>L32+(L32*M56)</f>
        <v>2205159.7882949002</v>
      </c>
      <c r="N32" s="90">
        <f>M32+(M32*N56)</f>
        <v>2231191.967284339</v>
      </c>
      <c r="O32" s="90">
        <f>N32+(N32*O56)</f>
        <v>2257835.3476166124</v>
      </c>
      <c r="P32" s="90">
        <f>O32+(O32*P56)</f>
        <v>2285107.950190892</v>
      </c>
    </row>
    <row r="33" spans="2:19" outlineLevel="1">
      <c r="B33" s="25" t="s">
        <v>207</v>
      </c>
      <c r="C33" s="30"/>
      <c r="D33" s="74"/>
      <c r="E33" s="158"/>
      <c r="F33" s="158"/>
      <c r="G33" s="51">
        <f>INDEX('PL(TKGSY)'!$C$4:$K$100,MATCH($B33,'PL(TKGSY)'!$B$4:$B$100,0),MATCH(G$7,'PL(TKGSY)'!$C$3:$K$3,0))</f>
        <v>1407345</v>
      </c>
      <c r="H33" s="51">
        <f>INDEX('PL(TKGSY)'!$C$4:$K$100,MATCH($B33,'PL(TKGSY)'!$B$4:$B$100,0),MATCH(H$7,'PL(TKGSY)'!$C$3:$K$3,0))</f>
        <v>1344171</v>
      </c>
      <c r="I33" s="51">
        <f>INDEX('PL(TKGSY)'!$C$4:$K$100,MATCH($B33,'PL(TKGSY)'!$B$4:$B$100,0),MATCH(I$7,'PL(TKGSY)'!$C$3:$K$3,0))</f>
        <v>1212624</v>
      </c>
      <c r="J33" s="51">
        <f>INDEX('PL(TKGSY)'!$C$4:$K$100,MATCH($B33,'PL(TKGSY)'!$B$4:$B$100,0),MATCH(J$7,'PL(TKGSY)'!$C$3:$K$3,0))</f>
        <v>1766392</v>
      </c>
      <c r="K33" s="51">
        <f>INDEX('PL(TKGSY)'!$C$4:$K$100,MATCH($B33,'PL(TKGSY)'!$B$4:$B$100,0),MATCH(K$7,'PL(TKGSY)'!$C$3:$K$3,0))</f>
        <v>2596462</v>
      </c>
      <c r="L33" s="91">
        <f>L32*L57</f>
        <v>1726163.8435220185</v>
      </c>
      <c r="M33" s="91">
        <f>M32*M57</f>
        <v>1785967.5485813846</v>
      </c>
      <c r="N33" s="91">
        <f>N32*N57</f>
        <v>1848089.1147540556</v>
      </c>
      <c r="O33" s="91">
        <f>O32*O57</f>
        <v>1912628.8903168063</v>
      </c>
      <c r="P33" s="91">
        <f>P32*P57</f>
        <v>1979692.0418203729</v>
      </c>
    </row>
    <row r="34" spans="2:19" outlineLevel="1">
      <c r="B34" s="26" t="s">
        <v>5</v>
      </c>
      <c r="C34" s="31"/>
      <c r="D34" s="76"/>
      <c r="E34" s="163"/>
      <c r="F34" s="163"/>
      <c r="G34" s="52">
        <f t="shared" ref="E34:P34" si="6">G32-G33</f>
        <v>554963</v>
      </c>
      <c r="H34" s="52">
        <f t="shared" si="6"/>
        <v>581064</v>
      </c>
      <c r="I34" s="52">
        <f t="shared" si="6"/>
        <v>552522</v>
      </c>
      <c r="J34" s="52">
        <f t="shared" si="6"/>
        <v>388468</v>
      </c>
      <c r="K34" s="52">
        <f t="shared" si="6"/>
        <v>693172</v>
      </c>
      <c r="L34" s="92">
        <f t="shared" si="6"/>
        <v>453557.56089025247</v>
      </c>
      <c r="M34" s="92">
        <f t="shared" si="6"/>
        <v>419192.23971351562</v>
      </c>
      <c r="N34" s="92">
        <f t="shared" si="6"/>
        <v>383102.85253028339</v>
      </c>
      <c r="O34" s="92">
        <f t="shared" si="6"/>
        <v>345206.45729980618</v>
      </c>
      <c r="P34" s="92">
        <f t="shared" si="6"/>
        <v>305415.90837051906</v>
      </c>
    </row>
    <row r="35" spans="2:19" outlineLevel="1">
      <c r="B35" s="6" t="s">
        <v>181</v>
      </c>
      <c r="C35" s="29"/>
      <c r="D35" s="73"/>
      <c r="E35" s="162"/>
      <c r="F35" s="162"/>
      <c r="G35" s="50"/>
      <c r="H35" s="50"/>
      <c r="I35" s="50"/>
      <c r="J35" s="50"/>
      <c r="K35" s="50"/>
      <c r="L35" s="90"/>
      <c r="M35" s="90"/>
      <c r="N35" s="90"/>
      <c r="O35" s="90"/>
      <c r="P35" s="90"/>
    </row>
    <row r="36" spans="2:19" outlineLevel="1">
      <c r="B36" s="53" t="s">
        <v>14</v>
      </c>
      <c r="C36" s="29"/>
      <c r="D36" s="73"/>
      <c r="E36" s="162"/>
      <c r="F36" s="162"/>
      <c r="G36" s="50">
        <f>IFERROR(INDEX('PL(TKGSY)'!$C$4:$K$100,MATCH($B36,'PL(TKGSY)'!$B$4:$B$100,0),MATCH(G$7,'PL(TKGSY)'!$C$3:$K$3,0)),0)</f>
        <v>0</v>
      </c>
      <c r="H36" s="50">
        <f>IFERROR(INDEX('PL(TKGSY)'!$C$4:$K$100,MATCH($B36,'PL(TKGSY)'!$B$4:$B$100,0),MATCH(H$7,'PL(TKGSY)'!$C$3:$K$3,0)),0)</f>
        <v>0</v>
      </c>
      <c r="I36" s="50">
        <f>IFERROR(INDEX('PL(TKGSY)'!$C$4:$K$100,MATCH($B36,'PL(TKGSY)'!$B$4:$B$100,0),MATCH(I$7,'PL(TKGSY)'!$C$3:$K$3,0)),0)</f>
        <v>0</v>
      </c>
      <c r="J36" s="50">
        <f>IFERROR(INDEX('PL(TKGSY)'!$C$4:$K$100,MATCH($B36,'PL(TKGSY)'!$B$4:$B$100,0),MATCH(J$7,'PL(TKGSY)'!$C$3:$K$3,0)),0)</f>
        <v>0</v>
      </c>
      <c r="K36" s="50">
        <f>IFERROR(INDEX('PL(TKGSY)'!$C$4:$K$100,MATCH($B36,'PL(TKGSY)'!$B$4:$B$100,0),MATCH(K$7,'PL(TKGSY)'!$C$3:$K$3,0)),0)</f>
        <v>0</v>
      </c>
      <c r="L36" s="90">
        <f t="shared" ref="L36:P38" si="7">L$32*L58</f>
        <v>0</v>
      </c>
      <c r="M36" s="90">
        <f t="shared" si="7"/>
        <v>0</v>
      </c>
      <c r="N36" s="90">
        <f t="shared" si="7"/>
        <v>0</v>
      </c>
      <c r="O36" s="90">
        <f t="shared" si="7"/>
        <v>0</v>
      </c>
      <c r="P36" s="90">
        <f t="shared" si="7"/>
        <v>0</v>
      </c>
    </row>
    <row r="37" spans="2:19" outlineLevel="1">
      <c r="B37" s="53" t="s">
        <v>250</v>
      </c>
      <c r="C37" s="29"/>
      <c r="D37" s="73"/>
      <c r="E37" s="162"/>
      <c r="F37" s="162"/>
      <c r="G37" s="50">
        <f>INDEX('PL(TKGSY)'!$C$4:$K$100,MATCH($B37,'PL(TKGSY)'!$B$4:$B$100,0),MATCH(G$7,'PL(TKGSY)'!$C$3:$K$3,0))</f>
        <v>461258</v>
      </c>
      <c r="H37" s="50">
        <f>INDEX('PL(TKGSY)'!$C$4:$K$100,MATCH($B37,'PL(TKGSY)'!$B$4:$B$100,0),MATCH(H$7,'PL(TKGSY)'!$C$3:$K$3,0))</f>
        <v>479645</v>
      </c>
      <c r="I37" s="50">
        <f>INDEX('PL(TKGSY)'!$C$4:$K$100,MATCH($B37,'PL(TKGSY)'!$B$4:$B$100,0),MATCH(I$7,'PL(TKGSY)'!$C$3:$K$3,0))</f>
        <v>474846</v>
      </c>
      <c r="J37" s="50">
        <f>INDEX('PL(TKGSY)'!$C$4:$K$100,MATCH($B37,'PL(TKGSY)'!$B$4:$B$100,0),MATCH(J$7,'PL(TKGSY)'!$C$3:$K$3,0))</f>
        <v>260941</v>
      </c>
      <c r="K37" s="50">
        <f>INDEX('PL(TKGSY)'!$C$4:$K$100,MATCH($B37,'PL(TKGSY)'!$B$4:$B$100,0),MATCH(K$7,'PL(TKGSY)'!$C$3:$K$3,0))</f>
        <v>271695</v>
      </c>
      <c r="L37" s="90">
        <f t="shared" si="7"/>
        <v>348505.62340682413</v>
      </c>
      <c r="M37" s="90">
        <f t="shared" si="7"/>
        <v>304365.80530087498</v>
      </c>
      <c r="N37" s="90">
        <f t="shared" si="7"/>
        <v>265851.87376935763</v>
      </c>
      <c r="O37" s="90">
        <f t="shared" si="7"/>
        <v>232242.68784017602</v>
      </c>
      <c r="P37" s="90">
        <f t="shared" si="7"/>
        <v>202910.02102377295</v>
      </c>
    </row>
    <row r="38" spans="2:19" outlineLevel="1">
      <c r="B38" s="53" t="s">
        <v>6</v>
      </c>
      <c r="C38" s="29"/>
      <c r="D38" s="73"/>
      <c r="E38" s="162"/>
      <c r="F38" s="162"/>
      <c r="G38" s="50">
        <f>G39-G37</f>
        <v>1</v>
      </c>
      <c r="H38" s="50">
        <f t="shared" ref="H38:K38" si="8">H39-H37</f>
        <v>1</v>
      </c>
      <c r="I38" s="50">
        <f t="shared" si="8"/>
        <v>1</v>
      </c>
      <c r="J38" s="50">
        <f t="shared" si="8"/>
        <v>2</v>
      </c>
      <c r="K38" s="50">
        <f t="shared" si="8"/>
        <v>0</v>
      </c>
      <c r="L38" s="90">
        <f t="shared" si="7"/>
        <v>0.87214093420512451</v>
      </c>
      <c r="M38" s="90">
        <f t="shared" si="7"/>
        <v>0.88231923306439863</v>
      </c>
      <c r="N38" s="90">
        <f t="shared" si="7"/>
        <v>0.89273511871716438</v>
      </c>
      <c r="O38" s="90">
        <f t="shared" si="7"/>
        <v>0.90339555567315999</v>
      </c>
      <c r="P38" s="90">
        <f t="shared" si="7"/>
        <v>0.9143077543785495</v>
      </c>
    </row>
    <row r="39" spans="2:19" outlineLevel="1">
      <c r="B39" s="25" t="s">
        <v>295</v>
      </c>
      <c r="C39" s="30"/>
      <c r="D39" s="74"/>
      <c r="E39" s="158"/>
      <c r="F39" s="158"/>
      <c r="G39" s="51">
        <f>G34-G42</f>
        <v>461259</v>
      </c>
      <c r="H39" s="51">
        <f t="shared" ref="H39:K39" si="9">H34-H42</f>
        <v>479646</v>
      </c>
      <c r="I39" s="51">
        <f t="shared" si="9"/>
        <v>474847</v>
      </c>
      <c r="J39" s="51">
        <f t="shared" si="9"/>
        <v>260943</v>
      </c>
      <c r="K39" s="51">
        <f t="shared" si="9"/>
        <v>271695</v>
      </c>
      <c r="L39" s="91">
        <f t="shared" ref="L39:P39" si="10">SUM(L36:L38)</f>
        <v>348506.49554775836</v>
      </c>
      <c r="M39" s="91">
        <f t="shared" si="10"/>
        <v>304366.68762010807</v>
      </c>
      <c r="N39" s="91">
        <f t="shared" si="10"/>
        <v>265852.76650447637</v>
      </c>
      <c r="O39" s="91">
        <f t="shared" si="10"/>
        <v>232243.5912357317</v>
      </c>
      <c r="P39" s="91">
        <f t="shared" si="10"/>
        <v>202910.93533152732</v>
      </c>
    </row>
    <row r="40" spans="2:19" outlineLevel="1">
      <c r="B40" s="26" t="s">
        <v>20</v>
      </c>
      <c r="C40" s="31"/>
      <c r="D40" s="76"/>
      <c r="E40" s="163"/>
      <c r="F40" s="163"/>
      <c r="G40" s="52">
        <f>SUM(G41:G42)</f>
        <v>251278</v>
      </c>
      <c r="H40" s="52">
        <f t="shared" ref="H40:K40" si="11">SUM(H41:H42)</f>
        <v>267033</v>
      </c>
      <c r="I40" s="52">
        <f t="shared" si="11"/>
        <v>253762</v>
      </c>
      <c r="J40" s="52">
        <f t="shared" si="11"/>
        <v>324335</v>
      </c>
      <c r="K40" s="52">
        <f t="shared" si="11"/>
        <v>626553</v>
      </c>
      <c r="L40" s="92">
        <f>L34-L39+L41</f>
        <v>288846.91143386706</v>
      </c>
      <c r="M40" s="92">
        <f>M34-M39+M41</f>
        <v>300766.38298854523</v>
      </c>
      <c r="N40" s="92">
        <f>N34-N39+N41</f>
        <v>305385.97100137931</v>
      </c>
      <c r="O40" s="92">
        <f>O34-O39+O41</f>
        <v>303345.34210444614</v>
      </c>
      <c r="P40" s="92">
        <f>P34-P39+P41</f>
        <v>295187.09666510846</v>
      </c>
    </row>
    <row r="41" spans="2:19" outlineLevel="1">
      <c r="B41" s="25" t="s">
        <v>208</v>
      </c>
      <c r="C41" s="30"/>
      <c r="D41" s="74"/>
      <c r="E41" s="158"/>
      <c r="F41" s="158"/>
      <c r="G41" s="51">
        <f>INDEX('CF(TKGSY)'!$C$4:$K$100,MATCH($B41,'CF(TKGSY)'!$B$4:$B$100,0),MATCH(G$7,'CF(TKGSY)'!$C$3:$K$3,0))</f>
        <v>157574</v>
      </c>
      <c r="H41" s="51">
        <f>INDEX('CF(TKGSY)'!$C$4:$K$100,MATCH($B41,'CF(TKGSY)'!$B$4:$B$100,0),MATCH(H$7,'CF(TKGSY)'!$C$3:$K$3,0))</f>
        <v>165615</v>
      </c>
      <c r="I41" s="51">
        <f>INDEX('CF(TKGSY)'!$C$4:$K$100,MATCH($B41,'CF(TKGSY)'!$B$4:$B$100,0),MATCH(I$7,'CF(TKGSY)'!$C$3:$K$3,0))</f>
        <v>176087</v>
      </c>
      <c r="J41" s="51">
        <f>INDEX('CF(TKGSY)'!$C$4:$K$100,MATCH($B41,'CF(TKGSY)'!$B$4:$B$100,0),MATCH(J$7,'CF(TKGSY)'!$C$3:$K$3,0))</f>
        <v>196810</v>
      </c>
      <c r="K41" s="51">
        <f>INDEX('CF(TKGSY)'!$C$4:$K$100,MATCH($B41,'CF(TKGSY)'!$B$4:$B$100,0),MATCH(K$7,'CF(TKGSY)'!$C$3:$K$3,0))</f>
        <v>205076</v>
      </c>
      <c r="L41" s="91">
        <f>L67</f>
        <v>183795.84609137295</v>
      </c>
      <c r="M41" s="91">
        <f t="shared" ref="M41:P41" si="12">M67</f>
        <v>185940.83089513765</v>
      </c>
      <c r="N41" s="91">
        <f t="shared" si="12"/>
        <v>188135.88497557232</v>
      </c>
      <c r="O41" s="91">
        <f t="shared" si="12"/>
        <v>190382.47604037166</v>
      </c>
      <c r="P41" s="91">
        <f t="shared" si="12"/>
        <v>192682.12362611669</v>
      </c>
    </row>
    <row r="42" spans="2:19" outlineLevel="1">
      <c r="B42" s="26" t="s">
        <v>209</v>
      </c>
      <c r="C42" s="31"/>
      <c r="D42" s="76"/>
      <c r="E42" s="163"/>
      <c r="F42" s="163"/>
      <c r="G42" s="52">
        <f>INDEX('PL(TKGSY)'!$C$4:$K$100,MATCH($B42,'PL(TKGSY)'!$B$4:$B$100,0),MATCH(G$7,'PL(TKGSY)'!$C$3:$K$3,0))</f>
        <v>93704</v>
      </c>
      <c r="H42" s="52">
        <f>INDEX('PL(TKGSY)'!$C$4:$K$100,MATCH($B42,'PL(TKGSY)'!$B$4:$B$100,0),MATCH(H$7,'PL(TKGSY)'!$C$3:$K$3,0))</f>
        <v>101418</v>
      </c>
      <c r="I42" s="52">
        <f>INDEX('PL(TKGSY)'!$C$4:$K$100,MATCH($B42,'PL(TKGSY)'!$B$4:$B$100,0),MATCH(I$7,'PL(TKGSY)'!$C$3:$K$3,0))</f>
        <v>77675</v>
      </c>
      <c r="J42" s="52">
        <f>INDEX('PL(TKGSY)'!$C$4:$K$100,MATCH($B42,'PL(TKGSY)'!$B$4:$B$100,0),MATCH(J$7,'PL(TKGSY)'!$C$3:$K$3,0))</f>
        <v>127525</v>
      </c>
      <c r="K42" s="52">
        <f>INDEX('PL(TKGSY)'!$C$4:$K$100,MATCH($B42,'PL(TKGSY)'!$B$4:$B$100,0),MATCH(K$7,'PL(TKGSY)'!$C$3:$K$3,0))</f>
        <v>421477</v>
      </c>
      <c r="L42" s="92">
        <f t="shared" ref="E42:P42" si="13">L40-SUM(L41:L41)</f>
        <v>105051.06534249411</v>
      </c>
      <c r="M42" s="92">
        <f t="shared" si="13"/>
        <v>114825.55209340758</v>
      </c>
      <c r="N42" s="92">
        <f t="shared" si="13"/>
        <v>117250.08602580699</v>
      </c>
      <c r="O42" s="92">
        <f t="shared" si="13"/>
        <v>112962.86606407448</v>
      </c>
      <c r="P42" s="92">
        <f t="shared" si="13"/>
        <v>102504.97303899177</v>
      </c>
      <c r="Q42" s="87"/>
      <c r="R42" s="87"/>
      <c r="S42" s="87"/>
    </row>
    <row r="43" spans="2:19" outlineLevel="1">
      <c r="B43" s="25" t="s">
        <v>252</v>
      </c>
      <c r="C43" s="30"/>
      <c r="D43" s="74"/>
      <c r="E43" s="158"/>
      <c r="F43" s="158"/>
      <c r="G43" s="51">
        <f>INDEX('PL(TKGSY)'!$C$4:$K$100,MATCH($B43,'PL(TKGSY)'!$B$4:$B$100,0),MATCH(G$7,'PL(TKGSY)'!$C$3:$K$3,0))</f>
        <v>32692</v>
      </c>
      <c r="H43" s="51">
        <f>INDEX('PL(TKGSY)'!$C$4:$K$100,MATCH($B43,'PL(TKGSY)'!$B$4:$B$100,0),MATCH(H$7,'PL(TKGSY)'!$C$3:$K$3,0))</f>
        <v>24183</v>
      </c>
      <c r="I43" s="51">
        <f>INDEX('PL(TKGSY)'!$C$4:$K$100,MATCH($B43,'PL(TKGSY)'!$B$4:$B$100,0),MATCH(I$7,'PL(TKGSY)'!$C$3:$K$3,0))</f>
        <v>16678</v>
      </c>
      <c r="J43" s="51">
        <f>INDEX('PL(TKGSY)'!$C$4:$K$100,MATCH($B43,'PL(TKGSY)'!$B$4:$B$100,0),MATCH(J$7,'PL(TKGSY)'!$C$3:$K$3,0))</f>
        <v>40910</v>
      </c>
      <c r="K43" s="51">
        <f>INDEX('PL(TKGSY)'!$C$4:$K$100,MATCH($B43,'PL(TKGSY)'!$B$4:$B$100,0),MATCH(K$7,'PL(TKGSY)'!$C$3:$K$3,0))</f>
        <v>126561</v>
      </c>
      <c r="L43" s="91">
        <f>L42*L61</f>
        <v>30597.993407474318</v>
      </c>
      <c r="M43" s="91">
        <f>M42*M61</f>
        <v>33444.986726302806</v>
      </c>
      <c r="N43" s="91">
        <f>N42*N61</f>
        <v>34151.175407377952</v>
      </c>
      <c r="O43" s="91">
        <f>O42*O61</f>
        <v>32902.446251725873</v>
      </c>
      <c r="P43" s="91">
        <f>P42*P61</f>
        <v>29856.398686246182</v>
      </c>
    </row>
    <row r="44" spans="2:19" outlineLevel="1">
      <c r="B44" s="26" t="s">
        <v>210</v>
      </c>
      <c r="C44" s="31"/>
      <c r="D44" s="76"/>
      <c r="E44" s="163"/>
      <c r="F44" s="163"/>
      <c r="G44" s="52">
        <f t="shared" ref="E44:P44" si="14">G42-G43</f>
        <v>61012</v>
      </c>
      <c r="H44" s="52">
        <f t="shared" si="14"/>
        <v>77235</v>
      </c>
      <c r="I44" s="52">
        <f t="shared" si="14"/>
        <v>60997</v>
      </c>
      <c r="J44" s="52">
        <f t="shared" si="14"/>
        <v>86615</v>
      </c>
      <c r="K44" s="52">
        <f t="shared" si="14"/>
        <v>294916</v>
      </c>
      <c r="L44" s="92">
        <f t="shared" si="14"/>
        <v>74453.071935019791</v>
      </c>
      <c r="M44" s="92">
        <f t="shared" si="14"/>
        <v>81380.565367104777</v>
      </c>
      <c r="N44" s="92">
        <f t="shared" si="14"/>
        <v>83098.910618429043</v>
      </c>
      <c r="O44" s="92">
        <f t="shared" si="14"/>
        <v>80060.419812348613</v>
      </c>
      <c r="P44" s="92">
        <f t="shared" si="14"/>
        <v>72648.574352745578</v>
      </c>
    </row>
    <row r="45" spans="2:19" outlineLevel="1">
      <c r="B45" s="6" t="s">
        <v>298</v>
      </c>
      <c r="C45" s="29"/>
      <c r="D45" s="73"/>
      <c r="E45" s="162"/>
      <c r="F45" s="162"/>
      <c r="G45" s="50">
        <f t="shared" ref="E45:P45" si="15">G41</f>
        <v>157574</v>
      </c>
      <c r="H45" s="50">
        <f t="shared" si="15"/>
        <v>165615</v>
      </c>
      <c r="I45" s="50">
        <f t="shared" si="15"/>
        <v>176087</v>
      </c>
      <c r="J45" s="50">
        <f t="shared" si="15"/>
        <v>196810</v>
      </c>
      <c r="K45" s="50">
        <f t="shared" si="15"/>
        <v>205076</v>
      </c>
      <c r="L45" s="90">
        <f t="shared" si="15"/>
        <v>183795.84609137295</v>
      </c>
      <c r="M45" s="90">
        <f t="shared" si="15"/>
        <v>185940.83089513765</v>
      </c>
      <c r="N45" s="90">
        <f t="shared" si="15"/>
        <v>188135.88497557232</v>
      </c>
      <c r="O45" s="90">
        <f t="shared" si="15"/>
        <v>190382.47604037166</v>
      </c>
      <c r="P45" s="90">
        <f t="shared" si="15"/>
        <v>192682.12362611669</v>
      </c>
    </row>
    <row r="46" spans="2:19" outlineLevel="1">
      <c r="B46" s="6" t="s">
        <v>299</v>
      </c>
      <c r="C46" s="29"/>
      <c r="D46" s="73"/>
      <c r="E46" s="162"/>
      <c r="F46" s="162"/>
      <c r="G46" s="50">
        <f t="shared" ref="F46:P46" si="16">-G68</f>
        <v>143094</v>
      </c>
      <c r="H46" s="50">
        <f t="shared" si="16"/>
        <v>177382</v>
      </c>
      <c r="I46" s="50">
        <f t="shared" si="16"/>
        <v>167501</v>
      </c>
      <c r="J46" s="50">
        <f t="shared" si="16"/>
        <v>160863</v>
      </c>
      <c r="K46" s="50">
        <f t="shared" si="16"/>
        <v>144878</v>
      </c>
      <c r="L46" s="90">
        <f t="shared" si="16"/>
        <v>157460.94574853635</v>
      </c>
      <c r="M46" s="90">
        <f t="shared" si="16"/>
        <v>159298.58975953929</v>
      </c>
      <c r="N46" s="90">
        <f t="shared" si="16"/>
        <v>161179.128949215</v>
      </c>
      <c r="O46" s="90">
        <f t="shared" si="16"/>
        <v>163103.82072705662</v>
      </c>
      <c r="P46" s="90">
        <f t="shared" si="16"/>
        <v>165073.96690522289</v>
      </c>
    </row>
    <row r="47" spans="2:19" outlineLevel="1">
      <c r="B47" s="6" t="s">
        <v>300</v>
      </c>
      <c r="C47" s="29"/>
      <c r="D47" s="73"/>
      <c r="E47" s="164"/>
      <c r="F47" s="162" t="s">
        <v>316</v>
      </c>
      <c r="G47" s="50">
        <f t="shared" ref="F47:P47" si="17">G48-F48</f>
        <v>-57627.099255296111</v>
      </c>
      <c r="H47" s="50">
        <f t="shared" si="17"/>
        <v>-54988</v>
      </c>
      <c r="I47" s="50">
        <f t="shared" si="17"/>
        <v>-63205</v>
      </c>
      <c r="J47" s="50">
        <f t="shared" si="17"/>
        <v>190277</v>
      </c>
      <c r="K47" s="50">
        <f t="shared" si="17"/>
        <v>-9857</v>
      </c>
      <c r="L47" s="90">
        <f t="shared" si="17"/>
        <v>-80381.015835191996</v>
      </c>
      <c r="M47" s="90">
        <f t="shared" si="17"/>
        <v>963.93920156592503</v>
      </c>
      <c r="N47" s="90">
        <f t="shared" si="17"/>
        <v>1030.3677551776054</v>
      </c>
      <c r="O47" s="90">
        <f t="shared" si="17"/>
        <v>1100.2875794531428</v>
      </c>
      <c r="P47" s="90">
        <f t="shared" si="17"/>
        <v>1173.8826995544368</v>
      </c>
    </row>
    <row r="48" spans="2:19" outlineLevel="1">
      <c r="B48" s="53" t="s">
        <v>211</v>
      </c>
      <c r="C48" s="32"/>
      <c r="D48" s="85"/>
      <c r="E48" s="164"/>
      <c r="F48" s="179">
        <f t="shared" ref="F48:G48" si="18">F49-F50</f>
        <v>153654.09925529611</v>
      </c>
      <c r="G48" s="69">
        <f t="shared" ref="D48:P48" si="19">G49-G50</f>
        <v>96027</v>
      </c>
      <c r="H48" s="69">
        <f t="shared" si="19"/>
        <v>41039</v>
      </c>
      <c r="I48" s="50">
        <f t="shared" si="19"/>
        <v>-22166</v>
      </c>
      <c r="J48" s="50">
        <f t="shared" si="19"/>
        <v>168111</v>
      </c>
      <c r="K48" s="50">
        <f t="shared" si="19"/>
        <v>158254</v>
      </c>
      <c r="L48" s="90">
        <f t="shared" si="19"/>
        <v>77872.984164808004</v>
      </c>
      <c r="M48" s="90">
        <f t="shared" si="19"/>
        <v>78836.923366373929</v>
      </c>
      <c r="N48" s="90">
        <f t="shared" si="19"/>
        <v>79867.291121551534</v>
      </c>
      <c r="O48" s="90">
        <f t="shared" si="19"/>
        <v>80967.578701004677</v>
      </c>
      <c r="P48" s="90">
        <f t="shared" si="19"/>
        <v>82141.461400559114</v>
      </c>
    </row>
    <row r="49" spans="2:27" outlineLevel="1">
      <c r="B49" s="53" t="s">
        <v>297</v>
      </c>
      <c r="C49" s="32"/>
      <c r="D49" s="83"/>
      <c r="E49" s="164"/>
      <c r="F49" s="180">
        <f>G49-G49*AVERAGE((H49/G49-1),(I49/H49-1))</f>
        <v>454558.43336138519</v>
      </c>
      <c r="G49" s="69">
        <f t="shared" ref="E49:P49" si="20">G83</f>
        <v>433653</v>
      </c>
      <c r="H49" s="69">
        <f t="shared" si="20"/>
        <v>411143</v>
      </c>
      <c r="I49" s="69">
        <f t="shared" si="20"/>
        <v>392844</v>
      </c>
      <c r="J49" s="69">
        <f t="shared" si="20"/>
        <v>720101</v>
      </c>
      <c r="K49" s="69">
        <f t="shared" si="20"/>
        <v>764412</v>
      </c>
      <c r="L49" s="93">
        <f t="shared" si="20"/>
        <v>551724.42818327225</v>
      </c>
      <c r="M49" s="93">
        <f t="shared" si="20"/>
        <v>558218.43875628943</v>
      </c>
      <c r="N49" s="93">
        <f t="shared" si="20"/>
        <v>564907.9634936956</v>
      </c>
      <c r="O49" s="93">
        <f t="shared" si="20"/>
        <v>571800.27762224118</v>
      </c>
      <c r="P49" s="93">
        <f t="shared" si="20"/>
        <v>578902.97401596978</v>
      </c>
    </row>
    <row r="50" spans="2:27" outlineLevel="1">
      <c r="B50" s="114" t="s">
        <v>212</v>
      </c>
      <c r="C50" s="33"/>
      <c r="D50" s="84"/>
      <c r="E50" s="165"/>
      <c r="F50" s="181">
        <f>G50-G50*AVERAGE((H50/G50-1),(I50/H50-1))</f>
        <v>300904.33410608908</v>
      </c>
      <c r="G50" s="70">
        <f t="shared" ref="D50:H50" si="21">G86</f>
        <v>337626</v>
      </c>
      <c r="H50" s="70">
        <f t="shared" si="21"/>
        <v>370104</v>
      </c>
      <c r="I50" s="51">
        <f>I86</f>
        <v>415010</v>
      </c>
      <c r="J50" s="51">
        <f t="shared" ref="J50:P50" si="22">J86</f>
        <v>551990</v>
      </c>
      <c r="K50" s="51">
        <f t="shared" si="22"/>
        <v>606158</v>
      </c>
      <c r="L50" s="91">
        <f t="shared" si="22"/>
        <v>473851.44401846424</v>
      </c>
      <c r="M50" s="91">
        <f t="shared" si="22"/>
        <v>479381.5153899155</v>
      </c>
      <c r="N50" s="91">
        <f t="shared" si="22"/>
        <v>485040.67237214406</v>
      </c>
      <c r="O50" s="91">
        <f t="shared" si="22"/>
        <v>490832.6989212365</v>
      </c>
      <c r="P50" s="91">
        <f t="shared" si="22"/>
        <v>496761.51261541067</v>
      </c>
    </row>
    <row r="51" spans="2:27" outlineLevel="1">
      <c r="B51" s="28" t="s">
        <v>213</v>
      </c>
      <c r="C51" s="34"/>
      <c r="D51" s="115"/>
      <c r="E51" s="166"/>
      <c r="F51" s="166"/>
      <c r="G51" s="86">
        <f t="shared" ref="E51:P51" si="23">G44+G45-G46-G47</f>
        <v>133119.09925529611</v>
      </c>
      <c r="H51" s="86">
        <f t="shared" si="23"/>
        <v>120456</v>
      </c>
      <c r="I51" s="86">
        <f t="shared" si="23"/>
        <v>132788</v>
      </c>
      <c r="J51" s="86">
        <f t="shared" si="23"/>
        <v>-67715</v>
      </c>
      <c r="K51" s="86">
        <f t="shared" si="23"/>
        <v>364971</v>
      </c>
      <c r="L51" s="86">
        <f t="shared" si="23"/>
        <v>181168.9881130484</v>
      </c>
      <c r="M51" s="86">
        <f t="shared" si="23"/>
        <v>107058.86730113724</v>
      </c>
      <c r="N51" s="86">
        <f t="shared" si="23"/>
        <v>109025.29888960876</v>
      </c>
      <c r="O51" s="86">
        <f t="shared" si="23"/>
        <v>106238.78754621049</v>
      </c>
      <c r="P51" s="86">
        <f t="shared" si="23"/>
        <v>99082.848374084948</v>
      </c>
    </row>
    <row r="52" spans="2:27" outlineLevel="1">
      <c r="B52" s="6"/>
      <c r="C52" s="6"/>
      <c r="D52" s="6"/>
      <c r="E52" s="6"/>
      <c r="F52" s="56"/>
      <c r="G52" s="56"/>
      <c r="H52" s="56"/>
      <c r="I52" s="56"/>
      <c r="J52" s="56"/>
      <c r="K52" s="56"/>
      <c r="L52" s="6"/>
      <c r="M52" s="6"/>
      <c r="N52" s="6"/>
      <c r="O52" s="6"/>
      <c r="P52" s="6"/>
    </row>
    <row r="53" spans="2:27" outlineLevel="1">
      <c r="B53" s="113" t="s">
        <v>214</v>
      </c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R53" s="1" t="s">
        <v>313</v>
      </c>
    </row>
    <row r="54" spans="2:27" outlineLevel="1">
      <c r="B54" s="104" t="str">
        <f>B31</f>
        <v>Fiscal Year</v>
      </c>
      <c r="C54" s="110"/>
      <c r="D54" s="107">
        <f>D$8</f>
        <v>42735</v>
      </c>
      <c r="E54" s="107">
        <f>E$8</f>
        <v>43100</v>
      </c>
      <c r="F54" s="107">
        <f t="shared" ref="F54:P54" si="24">F$8</f>
        <v>43465</v>
      </c>
      <c r="G54" s="107">
        <f t="shared" si="24"/>
        <v>43830</v>
      </c>
      <c r="H54" s="107">
        <f t="shared" si="24"/>
        <v>44196</v>
      </c>
      <c r="I54" s="107">
        <f t="shared" si="24"/>
        <v>44561</v>
      </c>
      <c r="J54" s="107">
        <f t="shared" si="24"/>
        <v>44926</v>
      </c>
      <c r="K54" s="107">
        <f t="shared" si="24"/>
        <v>45291</v>
      </c>
      <c r="L54" s="108">
        <f t="shared" si="24"/>
        <v>45657</v>
      </c>
      <c r="M54" s="108">
        <f t="shared" si="24"/>
        <v>46022</v>
      </c>
      <c r="N54" s="108">
        <f t="shared" si="24"/>
        <v>46387</v>
      </c>
      <c r="O54" s="108">
        <f t="shared" si="24"/>
        <v>46752</v>
      </c>
      <c r="P54" s="108">
        <f t="shared" si="24"/>
        <v>47118</v>
      </c>
      <c r="R54" s="1">
        <v>2014</v>
      </c>
      <c r="S54" s="1">
        <f>R54+1</f>
        <v>2015</v>
      </c>
      <c r="T54" s="1">
        <f t="shared" ref="T54:AA54" si="25">S54+1</f>
        <v>2016</v>
      </c>
      <c r="U54" s="1">
        <f t="shared" si="25"/>
        <v>2017</v>
      </c>
      <c r="V54" s="1">
        <f t="shared" si="25"/>
        <v>2018</v>
      </c>
      <c r="W54" s="1">
        <f t="shared" si="25"/>
        <v>2019</v>
      </c>
      <c r="X54" s="1">
        <f t="shared" si="25"/>
        <v>2020</v>
      </c>
      <c r="Y54" s="1">
        <f t="shared" si="25"/>
        <v>2021</v>
      </c>
      <c r="Z54" s="1">
        <f t="shared" si="25"/>
        <v>2022</v>
      </c>
      <c r="AA54" s="1">
        <f t="shared" si="25"/>
        <v>2023</v>
      </c>
    </row>
    <row r="55" spans="2:27" outlineLevel="1">
      <c r="B55" s="66" t="s">
        <v>292</v>
      </c>
      <c r="C55" s="132">
        <v>0.5</v>
      </c>
      <c r="D55" s="77"/>
      <c r="E55" s="151"/>
      <c r="F55" s="151"/>
      <c r="G55" s="68">
        <f>(1-$K55)*$C55^4</f>
        <v>3.4375000000000003E-2</v>
      </c>
      <c r="H55" s="68">
        <f>(1-$K55)*$C55^3</f>
        <v>6.8750000000000006E-2</v>
      </c>
      <c r="I55" s="68">
        <f>(1-$K55)*$C55^2</f>
        <v>0.13750000000000001</v>
      </c>
      <c r="J55" s="68">
        <f>(1-$K55)*$C55^1</f>
        <v>0.27500000000000002</v>
      </c>
      <c r="K55" s="133">
        <v>0.45</v>
      </c>
      <c r="L55" s="67"/>
      <c r="M55" s="67"/>
      <c r="N55" s="67"/>
      <c r="O55" s="67"/>
      <c r="P55" s="67"/>
      <c r="R55" s="14">
        <v>2112117</v>
      </c>
      <c r="S55" s="14">
        <v>2292548</v>
      </c>
      <c r="T55" s="14">
        <v>1884656</v>
      </c>
      <c r="U55" s="14">
        <v>1587085</v>
      </c>
      <c r="V55" s="14">
        <v>1777344</v>
      </c>
      <c r="W55" s="14">
        <v>1962308</v>
      </c>
      <c r="X55" s="14">
        <v>1925235</v>
      </c>
      <c r="Y55" s="14">
        <v>1765146</v>
      </c>
      <c r="Z55" s="14">
        <v>2154860</v>
      </c>
      <c r="AA55" s="14">
        <v>3289634</v>
      </c>
    </row>
    <row r="56" spans="2:27" outlineLevel="1">
      <c r="B56" s="6" t="s">
        <v>308</v>
      </c>
      <c r="C56" s="168">
        <f>AVERAGE(S56:Z56)</f>
        <v>1.1537364103594128E-2</v>
      </c>
      <c r="D56" s="73"/>
      <c r="E56" s="58"/>
      <c r="F56" s="58"/>
      <c r="G56" s="58"/>
      <c r="H56" s="59">
        <f t="shared" ref="F56:K56" si="26">H32/G32-1</f>
        <v>-1.8892548978040158E-2</v>
      </c>
      <c r="I56" s="59">
        <f t="shared" si="26"/>
        <v>-8.3152965741844498E-2</v>
      </c>
      <c r="J56" s="59">
        <f t="shared" si="26"/>
        <v>0.2207828700855341</v>
      </c>
      <c r="K56" s="23">
        <f t="shared" si="26"/>
        <v>0.5266114735992129</v>
      </c>
      <c r="L56" s="94">
        <f>C56</f>
        <v>1.1537364103594128E-2</v>
      </c>
      <c r="M56" s="94">
        <f>L56+L56*$C56</f>
        <v>1.167047487405303E-2</v>
      </c>
      <c r="N56" s="94">
        <f t="shared" ref="N56:P56" si="27">M56+M56*$C56</f>
        <v>1.1805121391936827E-2</v>
      </c>
      <c r="O56" s="94">
        <f t="shared" si="27"/>
        <v>1.194132137572273E-2</v>
      </c>
      <c r="P56" s="94">
        <f t="shared" si="27"/>
        <v>1.2079092748312474E-2</v>
      </c>
      <c r="Q56" s="1" t="s">
        <v>312</v>
      </c>
      <c r="S56" s="57">
        <f>S55/R55-1</f>
        <v>8.5426612256802148E-2</v>
      </c>
      <c r="T56" s="57">
        <f t="shared" ref="T56:AA56" si="28">T55/S55-1</f>
        <v>-0.17792081125455173</v>
      </c>
      <c r="U56" s="57">
        <f t="shared" si="28"/>
        <v>-0.15789141360545378</v>
      </c>
      <c r="V56" s="57">
        <f t="shared" si="28"/>
        <v>0.11987952756153586</v>
      </c>
      <c r="W56" s="57">
        <f t="shared" si="28"/>
        <v>0.10406764250477107</v>
      </c>
      <c r="X56" s="57">
        <f t="shared" si="28"/>
        <v>-1.8892548978040158E-2</v>
      </c>
      <c r="Y56" s="57">
        <f t="shared" si="28"/>
        <v>-8.3152965741844498E-2</v>
      </c>
      <c r="Z56" s="57">
        <f t="shared" si="28"/>
        <v>0.2207828700855341</v>
      </c>
      <c r="AA56" s="57">
        <f t="shared" si="28"/>
        <v>0.5266114735992129</v>
      </c>
    </row>
    <row r="57" spans="2:27" outlineLevel="1">
      <c r="B57" s="6" t="s">
        <v>307</v>
      </c>
      <c r="C57" s="134">
        <f>AVERAGE(,(H57/G57-1),(I57/H57-1),(J57/I57-1),(K57/J57-1))</f>
        <v>2.2709929000016737E-2</v>
      </c>
      <c r="D57" s="73"/>
      <c r="E57" s="58"/>
      <c r="F57" s="58"/>
      <c r="G57" s="59">
        <f t="shared" ref="E57:K57" si="29">G33/G32</f>
        <v>0.71718863705391811</v>
      </c>
      <c r="H57" s="59">
        <f t="shared" si="29"/>
        <v>0.69818541632579922</v>
      </c>
      <c r="I57" s="59">
        <f t="shared" si="29"/>
        <v>0.68698226662270434</v>
      </c>
      <c r="J57" s="59">
        <f t="shared" si="29"/>
        <v>0.81972471529472912</v>
      </c>
      <c r="K57" s="23">
        <f t="shared" si="29"/>
        <v>0.78928598135841255</v>
      </c>
      <c r="L57" s="94">
        <f>SUMPRODUCT(E57:K57,E$55:K$55)/SUM(E$55:K$55)+SUMPRODUCT(E57:K57,E$55:K$55)/SUM(E$55:K$55)*C57</f>
        <v>0.79191948109875654</v>
      </c>
      <c r="M57" s="94">
        <f>L57+L57*$C57</f>
        <v>0.80990391628823943</v>
      </c>
      <c r="N57" s="94">
        <f>M57+M57*$C57</f>
        <v>0.82829677672398083</v>
      </c>
      <c r="O57" s="94">
        <f>N57+N57*$C57</f>
        <v>0.84710733771432511</v>
      </c>
      <c r="P57" s="94">
        <f>O57+O57*$C57</f>
        <v>0.86634508520921061</v>
      </c>
    </row>
    <row r="58" spans="2:27" outlineLevel="1">
      <c r="B58" s="6" t="s">
        <v>309</v>
      </c>
      <c r="C58" s="134">
        <f>IFERROR(AVERAGE((H58/G58-1),(I58/H58-1),(J58/I58-1),(K58/J58-1)),0)</f>
        <v>0</v>
      </c>
      <c r="D58" s="73"/>
      <c r="E58" s="58"/>
      <c r="F58" s="58"/>
      <c r="G58" s="59">
        <f t="shared" ref="E58:K60" si="30">G36/G$32</f>
        <v>0</v>
      </c>
      <c r="H58" s="59">
        <f t="shared" si="30"/>
        <v>0</v>
      </c>
      <c r="I58" s="59">
        <f t="shared" si="30"/>
        <v>0</v>
      </c>
      <c r="J58" s="59">
        <f t="shared" si="30"/>
        <v>0</v>
      </c>
      <c r="K58" s="59">
        <f t="shared" si="30"/>
        <v>0</v>
      </c>
      <c r="L58" s="94">
        <f t="shared" ref="L58:L59" si="31">SUMPRODUCT(E58:K58,E$55:K$55)/SUM(E$55:K$55)+SUMPRODUCT(E58:K58,E$55:K$55)/SUM(E$55:K$55)*C58</f>
        <v>0</v>
      </c>
      <c r="M58" s="94">
        <f t="shared" ref="M58:P59" si="32">L58+L58*$C58</f>
        <v>0</v>
      </c>
      <c r="N58" s="94">
        <f t="shared" si="32"/>
        <v>0</v>
      </c>
      <c r="O58" s="94">
        <f t="shared" si="32"/>
        <v>0</v>
      </c>
      <c r="P58" s="94">
        <f t="shared" si="32"/>
        <v>0</v>
      </c>
    </row>
    <row r="59" spans="2:27" outlineLevel="1">
      <c r="B59" s="6" t="s">
        <v>310</v>
      </c>
      <c r="C59" s="168">
        <f>IFERROR(AVERAGE((H59/G59-1),(I59/H59-1),(J59/I59-1)),0)</f>
        <v>-0.13672931506746897</v>
      </c>
      <c r="D59" s="73"/>
      <c r="E59" s="58"/>
      <c r="F59" s="58"/>
      <c r="G59" s="59">
        <f t="shared" si="30"/>
        <v>0.2350589204141246</v>
      </c>
      <c r="H59" s="59">
        <f t="shared" si="30"/>
        <v>0.24913581978303947</v>
      </c>
      <c r="I59" s="59">
        <f t="shared" si="30"/>
        <v>0.26901230833030243</v>
      </c>
      <c r="J59" s="59">
        <f t="shared" si="30"/>
        <v>0.12109417781201563</v>
      </c>
      <c r="K59" s="59">
        <f t="shared" si="30"/>
        <v>8.2591254832604474E-2</v>
      </c>
      <c r="L59" s="94">
        <f>SUMPRODUCT(E59:J59,E$55:J$55)/SUM(E$55:J$55)+SUMPRODUCT(E59:J59,E$55:J$55)/SUM(E$55:J$55)*C59</f>
        <v>0.15988539760235709</v>
      </c>
      <c r="M59" s="94">
        <f t="shared" si="32"/>
        <v>0.13802437669889686</v>
      </c>
      <c r="N59" s="94">
        <f t="shared" si="32"/>
        <v>0.11915239821024237</v>
      </c>
      <c r="O59" s="94">
        <f t="shared" si="32"/>
        <v>0.10286077241430962</v>
      </c>
      <c r="P59" s="94">
        <f t="shared" si="32"/>
        <v>8.8796689454790259E-2</v>
      </c>
    </row>
    <row r="60" spans="2:27" outlineLevel="1">
      <c r="B60" s="6" t="s">
        <v>293</v>
      </c>
      <c r="C60" s="29"/>
      <c r="D60" s="73"/>
      <c r="E60" s="58"/>
      <c r="F60" s="58"/>
      <c r="G60" s="59">
        <f t="shared" si="30"/>
        <v>5.0960399692606869E-7</v>
      </c>
      <c r="H60" s="59">
        <f t="shared" si="30"/>
        <v>5.1941711011902441E-7</v>
      </c>
      <c r="I60" s="59">
        <f t="shared" si="30"/>
        <v>5.6652537523808226E-7</v>
      </c>
      <c r="J60" s="59">
        <f t="shared" si="30"/>
        <v>9.2813454238326388E-7</v>
      </c>
      <c r="K60" s="59">
        <f t="shared" si="30"/>
        <v>0</v>
      </c>
      <c r="L60" s="94">
        <f>SUMPRODUCT(E60:K60,E$55:K$55)/SUM(E$55:K$55)</f>
        <v>4.0011578197090014E-7</v>
      </c>
      <c r="M60" s="94">
        <f t="shared" ref="M60:P61" si="33">L60</f>
        <v>4.0011578197090014E-7</v>
      </c>
      <c r="N60" s="94">
        <f t="shared" si="33"/>
        <v>4.0011578197090014E-7</v>
      </c>
      <c r="O60" s="94">
        <f t="shared" si="33"/>
        <v>4.0011578197090014E-7</v>
      </c>
      <c r="P60" s="94">
        <f t="shared" si="33"/>
        <v>4.0011578197090014E-7</v>
      </c>
    </row>
    <row r="61" spans="2:27" outlineLevel="1">
      <c r="B61" s="25" t="s">
        <v>215</v>
      </c>
      <c r="C61" s="30"/>
      <c r="D61" s="74"/>
      <c r="E61" s="167"/>
      <c r="F61" s="167"/>
      <c r="G61" s="60">
        <f t="shared" ref="E61:K61" si="34">G43/G42</f>
        <v>0.34888585332536498</v>
      </c>
      <c r="H61" s="60">
        <f t="shared" si="34"/>
        <v>0.23844879607170325</v>
      </c>
      <c r="I61" s="60">
        <f t="shared" si="34"/>
        <v>0.21471515931766977</v>
      </c>
      <c r="J61" s="60">
        <f t="shared" si="34"/>
        <v>0.32079984316800625</v>
      </c>
      <c r="K61" s="35">
        <f t="shared" si="34"/>
        <v>0.30027973056655521</v>
      </c>
      <c r="L61" s="95">
        <f t="array" ref="L61">SUMPRODUCT((E61:K61 &gt; 0) * E61:K61, E$55:K$55) / SUM((E61:K61 &gt; 0) * E$55:K$55)</f>
        <v>0.29126780683010506</v>
      </c>
      <c r="M61" s="95">
        <f t="shared" si="33"/>
        <v>0.29126780683010506</v>
      </c>
      <c r="N61" s="95">
        <f t="shared" si="33"/>
        <v>0.29126780683010506</v>
      </c>
      <c r="O61" s="95">
        <f t="shared" si="33"/>
        <v>0.29126780683010506</v>
      </c>
      <c r="P61" s="95">
        <f t="shared" si="33"/>
        <v>0.29126780683010506</v>
      </c>
    </row>
    <row r="62" spans="2:27" outlineLevel="1"/>
    <row r="63" spans="2:27" outlineLevel="1">
      <c r="B63" s="2"/>
    </row>
    <row r="64" spans="2:27" ht="26">
      <c r="B64" s="49" t="s">
        <v>247</v>
      </c>
    </row>
    <row r="65" spans="1:16" outlineLevel="1">
      <c r="B65" s="113" t="s">
        <v>216</v>
      </c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</row>
    <row r="66" spans="1:16" outlineLevel="1">
      <c r="B66" s="109" t="s">
        <v>206</v>
      </c>
      <c r="C66" s="110"/>
      <c r="D66" s="107">
        <f>D$8</f>
        <v>42735</v>
      </c>
      <c r="E66" s="107">
        <f>E$8</f>
        <v>43100</v>
      </c>
      <c r="F66" s="107">
        <f t="shared" ref="F66:P66" si="35">F$8</f>
        <v>43465</v>
      </c>
      <c r="G66" s="107">
        <f t="shared" si="35"/>
        <v>43830</v>
      </c>
      <c r="H66" s="107">
        <f t="shared" si="35"/>
        <v>44196</v>
      </c>
      <c r="I66" s="107">
        <f t="shared" si="35"/>
        <v>44561</v>
      </c>
      <c r="J66" s="107">
        <f t="shared" si="35"/>
        <v>44926</v>
      </c>
      <c r="K66" s="107">
        <f t="shared" si="35"/>
        <v>45291</v>
      </c>
      <c r="L66" s="108">
        <f t="shared" si="35"/>
        <v>45657</v>
      </c>
      <c r="M66" s="108">
        <f t="shared" si="35"/>
        <v>46022</v>
      </c>
      <c r="N66" s="108">
        <f t="shared" si="35"/>
        <v>46387</v>
      </c>
      <c r="O66" s="108">
        <f t="shared" si="35"/>
        <v>46752</v>
      </c>
      <c r="P66" s="108">
        <f t="shared" si="35"/>
        <v>47118</v>
      </c>
    </row>
    <row r="67" spans="1:16" outlineLevel="1">
      <c r="A67" s="54"/>
      <c r="B67" s="6" t="s">
        <v>217</v>
      </c>
      <c r="C67" s="39"/>
      <c r="D67" s="72"/>
      <c r="E67" s="162"/>
      <c r="F67" s="162"/>
      <c r="G67" s="50">
        <f>G41</f>
        <v>157574</v>
      </c>
      <c r="H67" s="50">
        <f>H41</f>
        <v>165615</v>
      </c>
      <c r="I67" s="50">
        <f>I41</f>
        <v>176087</v>
      </c>
      <c r="J67" s="50">
        <f>J41</f>
        <v>196810</v>
      </c>
      <c r="K67" s="50">
        <f>K41</f>
        <v>205076</v>
      </c>
      <c r="L67" s="90">
        <f>L$32*L73</f>
        <v>183795.84609137295</v>
      </c>
      <c r="M67" s="90">
        <f>M$32*M73</f>
        <v>185940.83089513765</v>
      </c>
      <c r="N67" s="90">
        <f>N$32*N73</f>
        <v>188135.88497557232</v>
      </c>
      <c r="O67" s="90">
        <f>O$32*O73</f>
        <v>190382.47604037166</v>
      </c>
      <c r="P67" s="90">
        <f>P$32*P73</f>
        <v>192682.12362611669</v>
      </c>
    </row>
    <row r="68" spans="1:16" outlineLevel="1">
      <c r="A68" s="54"/>
      <c r="B68" s="25" t="s">
        <v>296</v>
      </c>
      <c r="C68" s="40"/>
      <c r="D68" s="78"/>
      <c r="E68" s="158"/>
      <c r="F68" s="158"/>
      <c r="G68" s="51">
        <f>'CF(TKGSY)'!C23+'CF(TKGSY)'!C26</f>
        <v>-143094</v>
      </c>
      <c r="H68" s="51">
        <f>'CF(TKGSY)'!D23+'CF(TKGSY)'!D26</f>
        <v>-177382</v>
      </c>
      <c r="I68" s="51">
        <f>'CF(TKGSY)'!E23+'CF(TKGSY)'!E26</f>
        <v>-167501</v>
      </c>
      <c r="J68" s="51">
        <f>'CF(TKGSY)'!F23+'CF(TKGSY)'!F26</f>
        <v>-160863</v>
      </c>
      <c r="K68" s="51">
        <f>'CF(TKGSY)'!G23+'CF(TKGSY)'!G26</f>
        <v>-144878</v>
      </c>
      <c r="L68" s="91">
        <f>L$32*L74</f>
        <v>-157460.94574853635</v>
      </c>
      <c r="M68" s="91">
        <f>M$32*M74</f>
        <v>-159298.58975953929</v>
      </c>
      <c r="N68" s="91">
        <f>N$32*N74</f>
        <v>-161179.128949215</v>
      </c>
      <c r="O68" s="91">
        <f>O$32*O74</f>
        <v>-163103.82072705662</v>
      </c>
      <c r="P68" s="91">
        <f>P$32*P74</f>
        <v>-165073.96690522289</v>
      </c>
    </row>
    <row r="69" spans="1:16" outlineLevel="1">
      <c r="E69" s="126"/>
      <c r="F69" s="126"/>
      <c r="G69" s="126"/>
      <c r="H69" s="126"/>
      <c r="I69" s="126"/>
      <c r="J69" s="126"/>
      <c r="K69" s="126"/>
      <c r="L69" s="126"/>
      <c r="M69" s="126"/>
      <c r="N69" s="126"/>
      <c r="O69" s="126"/>
      <c r="P69" s="126"/>
    </row>
    <row r="70" spans="1:16" outlineLevel="1">
      <c r="B70" s="112" t="s">
        <v>214</v>
      </c>
      <c r="C70" s="112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</row>
    <row r="71" spans="1:16" outlineLevel="1">
      <c r="B71" s="109" t="s">
        <v>206</v>
      </c>
      <c r="C71" s="110"/>
      <c r="D71" s="107">
        <f>D$8</f>
        <v>42735</v>
      </c>
      <c r="E71" s="107">
        <f>E$8</f>
        <v>43100</v>
      </c>
      <c r="F71" s="107">
        <f t="shared" ref="F71:P71" si="36">F$8</f>
        <v>43465</v>
      </c>
      <c r="G71" s="107">
        <f t="shared" si="36"/>
        <v>43830</v>
      </c>
      <c r="H71" s="107">
        <f t="shared" si="36"/>
        <v>44196</v>
      </c>
      <c r="I71" s="107">
        <f t="shared" si="36"/>
        <v>44561</v>
      </c>
      <c r="J71" s="107">
        <f t="shared" si="36"/>
        <v>44926</v>
      </c>
      <c r="K71" s="107">
        <f t="shared" si="36"/>
        <v>45291</v>
      </c>
      <c r="L71" s="108">
        <f t="shared" si="36"/>
        <v>45657</v>
      </c>
      <c r="M71" s="108">
        <f t="shared" si="36"/>
        <v>46022</v>
      </c>
      <c r="N71" s="108">
        <f t="shared" si="36"/>
        <v>46387</v>
      </c>
      <c r="O71" s="108">
        <f t="shared" si="36"/>
        <v>46752</v>
      </c>
      <c r="P71" s="108">
        <f t="shared" si="36"/>
        <v>47118</v>
      </c>
    </row>
    <row r="72" spans="1:16" outlineLevel="1">
      <c r="B72" s="66" t="s">
        <v>292</v>
      </c>
      <c r="C72" s="132">
        <v>0.5</v>
      </c>
      <c r="D72" s="77"/>
      <c r="E72" s="151"/>
      <c r="F72" s="151"/>
      <c r="G72" s="68">
        <f>(1-$K72)*$C72^4</f>
        <v>4.6875E-2</v>
      </c>
      <c r="H72" s="68">
        <f>(1-$K72)*$C72^3</f>
        <v>9.375E-2</v>
      </c>
      <c r="I72" s="68">
        <f>(1-$K72)*$C72^2</f>
        <v>0.1875</v>
      </c>
      <c r="J72" s="68">
        <f>(1-$K72)*$C72^1</f>
        <v>0.375</v>
      </c>
      <c r="K72" s="133">
        <v>0.25</v>
      </c>
      <c r="L72" s="67"/>
      <c r="M72" s="67"/>
      <c r="N72" s="67"/>
      <c r="O72" s="67"/>
      <c r="P72" s="67"/>
    </row>
    <row r="73" spans="1:16" outlineLevel="1">
      <c r="B73" s="127" t="s">
        <v>305</v>
      </c>
      <c r="C73" s="131"/>
      <c r="D73" s="129"/>
      <c r="E73" s="129"/>
      <c r="F73" s="129"/>
      <c r="G73" s="128">
        <f>G67/G32</f>
        <v>8.0300340211628352E-2</v>
      </c>
      <c r="H73" s="128">
        <f>H67/H32</f>
        <v>8.6023264692362225E-2</v>
      </c>
      <c r="I73" s="128">
        <f>I67/I32</f>
        <v>9.9757753749548192E-2</v>
      </c>
      <c r="J73" s="128">
        <f>J67/J32</f>
        <v>9.1333079643225082E-2</v>
      </c>
      <c r="K73" s="128">
        <f>K67/K32</f>
        <v>6.2340065794553437E-2</v>
      </c>
      <c r="L73" s="130">
        <f>SUMPRODUCT(E73:K73,E$72:K$72)/SUM(E$72:K$72)</f>
        <v>8.4320797015309729E-2</v>
      </c>
      <c r="M73" s="130">
        <f t="shared" ref="M73:P74" si="37">L73</f>
        <v>8.4320797015309729E-2</v>
      </c>
      <c r="N73" s="130">
        <f t="shared" si="37"/>
        <v>8.4320797015309729E-2</v>
      </c>
      <c r="O73" s="130">
        <f t="shared" si="37"/>
        <v>8.4320797015309729E-2</v>
      </c>
      <c r="P73" s="130">
        <f t="shared" si="37"/>
        <v>8.4320797015309729E-2</v>
      </c>
    </row>
    <row r="74" spans="1:16" outlineLevel="1">
      <c r="B74" s="25" t="s">
        <v>306</v>
      </c>
      <c r="C74" s="55"/>
      <c r="D74" s="80"/>
      <c r="E74" s="80"/>
      <c r="F74" s="80"/>
      <c r="G74" s="35">
        <f>G68/G32</f>
        <v>-7.2921274336138875E-2</v>
      </c>
      <c r="H74" s="35">
        <f>H68/H32</f>
        <v>-9.2135245827132797E-2</v>
      </c>
      <c r="I74" s="35">
        <f>I68/I32</f>
        <v>-9.4893566877754021E-2</v>
      </c>
      <c r="J74" s="35">
        <f>J68/J32</f>
        <v>-7.4651253445699492E-2</v>
      </c>
      <c r="K74" s="35">
        <f>K68/K32</f>
        <v>-4.4040765629246297E-2</v>
      </c>
      <c r="L74" s="95">
        <f t="shared" ref="L74" si="38">SUMPRODUCT(E74:K74,E$72:K$72)/SUM(E$72:K$72)</f>
        <v>-7.2239023496212959E-2</v>
      </c>
      <c r="M74" s="95">
        <f t="shared" si="37"/>
        <v>-7.2239023496212959E-2</v>
      </c>
      <c r="N74" s="95">
        <f t="shared" si="37"/>
        <v>-7.2239023496212959E-2</v>
      </c>
      <c r="O74" s="95">
        <f t="shared" si="37"/>
        <v>-7.2239023496212959E-2</v>
      </c>
      <c r="P74" s="95">
        <f t="shared" si="37"/>
        <v>-7.2239023496212959E-2</v>
      </c>
    </row>
    <row r="75" spans="1:16" outlineLevel="1">
      <c r="B75" s="6"/>
      <c r="C75" s="23"/>
      <c r="D75" s="23"/>
      <c r="E75" s="23"/>
      <c r="F75" s="23"/>
      <c r="G75" s="23"/>
      <c r="H75" s="23"/>
      <c r="I75" s="23"/>
      <c r="J75" s="23"/>
      <c r="K75" s="23"/>
    </row>
    <row r="76" spans="1:16" outlineLevel="1">
      <c r="B76" s="6"/>
      <c r="C76" s="23"/>
      <c r="D76" s="23"/>
      <c r="E76" s="23"/>
      <c r="F76" s="23"/>
      <c r="G76" s="23"/>
      <c r="H76" s="23"/>
      <c r="I76" s="23"/>
      <c r="J76" s="23"/>
      <c r="K76" s="23"/>
    </row>
    <row r="77" spans="1:16" ht="26">
      <c r="B77" s="49" t="s">
        <v>248</v>
      </c>
    </row>
    <row r="78" spans="1:16" outlineLevel="1">
      <c r="B78" s="112" t="s">
        <v>229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</row>
    <row r="79" spans="1:16" outlineLevel="1">
      <c r="B79" s="104" t="s">
        <v>206</v>
      </c>
      <c r="C79" s="105"/>
      <c r="D79" s="107">
        <f>D$8</f>
        <v>42735</v>
      </c>
      <c r="E79" s="107">
        <f>E$8</f>
        <v>43100</v>
      </c>
      <c r="F79" s="107">
        <f t="shared" ref="F79:P79" si="39">F$8</f>
        <v>43465</v>
      </c>
      <c r="G79" s="107">
        <f t="shared" si="39"/>
        <v>43830</v>
      </c>
      <c r="H79" s="107">
        <f t="shared" si="39"/>
        <v>44196</v>
      </c>
      <c r="I79" s="107">
        <f t="shared" si="39"/>
        <v>44561</v>
      </c>
      <c r="J79" s="107">
        <f t="shared" si="39"/>
        <v>44926</v>
      </c>
      <c r="K79" s="107">
        <f t="shared" si="39"/>
        <v>45291</v>
      </c>
      <c r="L79" s="108">
        <f t="shared" si="39"/>
        <v>45657</v>
      </c>
      <c r="M79" s="108">
        <f t="shared" si="39"/>
        <v>46022</v>
      </c>
      <c r="N79" s="108">
        <f t="shared" si="39"/>
        <v>46387</v>
      </c>
      <c r="O79" s="108">
        <f t="shared" si="39"/>
        <v>46752</v>
      </c>
      <c r="P79" s="108">
        <f t="shared" si="39"/>
        <v>47118</v>
      </c>
    </row>
    <row r="80" spans="1:16" outlineLevel="1">
      <c r="B80" s="6" t="s">
        <v>230</v>
      </c>
      <c r="C80" s="39"/>
      <c r="D80" s="72"/>
      <c r="E80" s="72"/>
      <c r="F80" s="72"/>
      <c r="G80" s="22">
        <f>INDEX('BS(TKGSY)'!$C$4:$K$100,MATCH($B80,'BS(TKGSY)'!$B$4:$B$100,0),MATCH(G$7,'BS(TKGSY)'!$C$3:$K$3,0))</f>
        <v>265225</v>
      </c>
      <c r="H80" s="22">
        <f>INDEX('BS(TKGSY)'!$C$4:$K$100,MATCH($B80,'BS(TKGSY)'!$B$4:$B$100,0),MATCH(H$7,'BS(TKGSY)'!$C$3:$K$3,0))</f>
        <v>221123</v>
      </c>
      <c r="I80" s="22">
        <f>INDEX('BS(TKGSY)'!$C$4:$K$100,MATCH($B80,'BS(TKGSY)'!$B$4:$B$100,0),MATCH(I$7,'BS(TKGSY)'!$C$3:$K$3,0))</f>
        <v>218985</v>
      </c>
      <c r="J80" s="22">
        <f>INDEX('BS(TKGSY)'!$C$4:$K$100,MATCH($B80,'BS(TKGSY)'!$B$4:$B$100,0),MATCH(J$7,'BS(TKGSY)'!$C$3:$K$3,0))</f>
        <v>364683</v>
      </c>
      <c r="K80" s="22">
        <f>INDEX('BS(TKGSY)'!$C$4:$K$100,MATCH($B80,'BS(TKGSY)'!$B$4:$B$100,0),MATCH(K$7,'BS(TKGSY)'!$C$3:$K$3,0))</f>
        <v>446061</v>
      </c>
      <c r="L80" s="96">
        <f t="shared" ref="L80:P81" si="40">L93*L90/360</f>
        <v>312274.53010618483</v>
      </c>
      <c r="M80" s="96">
        <f t="shared" si="40"/>
        <v>315918.92216359585</v>
      </c>
      <c r="N80" s="96">
        <f t="shared" si="40"/>
        <v>319648.38338974689</v>
      </c>
      <c r="O80" s="96">
        <f t="shared" si="40"/>
        <v>323465.40746303409</v>
      </c>
      <c r="P80" s="96">
        <f t="shared" si="40"/>
        <v>327372.5761206508</v>
      </c>
    </row>
    <row r="81" spans="2:16" outlineLevel="1">
      <c r="B81" s="6" t="s">
        <v>48</v>
      </c>
      <c r="C81" s="39"/>
      <c r="D81" s="72"/>
      <c r="E81" s="72"/>
      <c r="F81" s="72"/>
      <c r="G81" s="22">
        <f>INDEX('BS(TKGSY)'!$C$4:$K$100,MATCH($B81,'BS(TKGSY)'!$B$4:$B$100,0),MATCH(G$7,'BS(TKGSY)'!$C$3:$K$3,0))</f>
        <v>78660</v>
      </c>
      <c r="H81" s="22">
        <f>INDEX('BS(TKGSY)'!$C$4:$K$100,MATCH($B81,'BS(TKGSY)'!$B$4:$B$100,0),MATCH(H$7,'BS(TKGSY)'!$C$3:$K$3,0))</f>
        <v>78477</v>
      </c>
      <c r="I81" s="22">
        <f>INDEX('BS(TKGSY)'!$C$4:$K$100,MATCH($B81,'BS(TKGSY)'!$B$4:$B$100,0),MATCH(I$7,'BS(TKGSY)'!$C$3:$K$3,0))</f>
        <v>60040</v>
      </c>
      <c r="J81" s="22">
        <f>INDEX('BS(TKGSY)'!$C$4:$K$100,MATCH($B81,'BS(TKGSY)'!$B$4:$B$100,0),MATCH(J$7,'BS(TKGSY)'!$C$3:$K$3,0))</f>
        <v>67135</v>
      </c>
      <c r="K81" s="22">
        <f>INDEX('BS(TKGSY)'!$C$4:$K$100,MATCH($B81,'BS(TKGSY)'!$B$4:$B$100,0),MATCH(K$7,'BS(TKGSY)'!$C$3:$K$3,0))</f>
        <v>135769</v>
      </c>
      <c r="L81" s="96">
        <f t="shared" si="40"/>
        <v>82250.898077087491</v>
      </c>
      <c r="M81" s="96">
        <f t="shared" si="40"/>
        <v>85100.516592693588</v>
      </c>
      <c r="N81" s="96">
        <f t="shared" si="40"/>
        <v>88060.580103948698</v>
      </c>
      <c r="O81" s="96">
        <f t="shared" si="40"/>
        <v>91135.870159207116</v>
      </c>
      <c r="P81" s="96">
        <f t="shared" si="40"/>
        <v>94331.397895319009</v>
      </c>
    </row>
    <row r="82" spans="2:16" outlineLevel="1">
      <c r="B82" s="25" t="s">
        <v>186</v>
      </c>
      <c r="C82" s="40"/>
      <c r="D82" s="78"/>
      <c r="E82" s="78"/>
      <c r="F82" s="78"/>
      <c r="G82" s="36">
        <f t="shared" ref="F82:K82" si="41">G85-SUM(G80:G81,G84)</f>
        <v>89768</v>
      </c>
      <c r="H82" s="36">
        <f t="shared" si="41"/>
        <v>111543</v>
      </c>
      <c r="I82" s="36">
        <f t="shared" si="41"/>
        <v>113819</v>
      </c>
      <c r="J82" s="36">
        <f t="shared" si="41"/>
        <v>288283</v>
      </c>
      <c r="K82" s="36">
        <f t="shared" si="41"/>
        <v>182582</v>
      </c>
      <c r="L82" s="97">
        <f>AVERAGE(E82:K82)</f>
        <v>157199</v>
      </c>
      <c r="M82" s="97">
        <f>L82</f>
        <v>157199</v>
      </c>
      <c r="N82" s="97">
        <f>M82</f>
        <v>157199</v>
      </c>
      <c r="O82" s="97">
        <f>N82</f>
        <v>157199</v>
      </c>
      <c r="P82" s="97">
        <f>O82</f>
        <v>157199</v>
      </c>
    </row>
    <row r="83" spans="2:16" outlineLevel="1">
      <c r="B83" s="64" t="s">
        <v>287</v>
      </c>
      <c r="C83" s="65"/>
      <c r="D83" s="170"/>
      <c r="E83" s="170"/>
      <c r="F83" s="170"/>
      <c r="G83" s="88">
        <f t="shared" ref="F83:K83" si="42">G85-G84</f>
        <v>433653</v>
      </c>
      <c r="H83" s="88">
        <f t="shared" si="42"/>
        <v>411143</v>
      </c>
      <c r="I83" s="88">
        <f t="shared" si="42"/>
        <v>392844</v>
      </c>
      <c r="J83" s="88">
        <f t="shared" si="42"/>
        <v>720101</v>
      </c>
      <c r="K83" s="88">
        <f t="shared" si="42"/>
        <v>764412</v>
      </c>
      <c r="L83" s="98">
        <f>SUM(L80:L82)</f>
        <v>551724.42818327225</v>
      </c>
      <c r="M83" s="98">
        <f t="shared" ref="M83:P83" si="43">SUM(M80:M82)</f>
        <v>558218.43875628943</v>
      </c>
      <c r="N83" s="98">
        <f t="shared" si="43"/>
        <v>564907.9634936956</v>
      </c>
      <c r="O83" s="98">
        <f t="shared" si="43"/>
        <v>571800.27762224118</v>
      </c>
      <c r="P83" s="98">
        <f t="shared" si="43"/>
        <v>578902.97401596978</v>
      </c>
    </row>
    <row r="84" spans="2:16" outlineLevel="1">
      <c r="B84" s="6" t="s">
        <v>36</v>
      </c>
      <c r="C84" s="61"/>
      <c r="D84" s="171"/>
      <c r="E84" s="171"/>
      <c r="F84" s="171"/>
      <c r="G84" s="62">
        <f>INDEX('BS(TKGSY)'!$C$4:$K$100,MATCH($B84,'BS(TKGSY)'!$B$4:$B$100,0),MATCH(G$7,'BS(TKGSY)'!$C$3:$K$3,0))</f>
        <v>93092</v>
      </c>
      <c r="H84" s="62">
        <f>INDEX('BS(TKGSY)'!$C$4:$K$100,MATCH($B84,'BS(TKGSY)'!$B$4:$B$100,0),MATCH(H$7,'BS(TKGSY)'!$C$3:$K$3,0))</f>
        <v>151288</v>
      </c>
      <c r="I84" s="62">
        <f>INDEX('BS(TKGSY)'!$C$4:$K$100,MATCH($B84,'BS(TKGSY)'!$B$4:$B$100,0),MATCH(I$7,'BS(TKGSY)'!$C$3:$K$3,0))</f>
        <v>157881</v>
      </c>
      <c r="J84" s="62">
        <f>INDEX('BS(TKGSY)'!$C$4:$K$100,MATCH($B84,'BS(TKGSY)'!$B$4:$B$100,0),MATCH(J$7,'BS(TKGSY)'!$C$3:$K$3,0))</f>
        <v>179769</v>
      </c>
      <c r="K84" s="62">
        <f>INDEX('BS(TKGSY)'!$C$4:$K$100,MATCH($B84,'BS(TKGSY)'!$B$4:$B$100,0),MATCH(K$7,'BS(TKGSY)'!$C$3:$K$3,0))</f>
        <v>453502</v>
      </c>
      <c r="L84" s="91">
        <f>L85-L83</f>
        <v>256101.09636715928</v>
      </c>
      <c r="M84" s="91">
        <f t="shared" ref="M84:P84" si="44">M85-M83</f>
        <v>259034.79328102665</v>
      </c>
      <c r="N84" s="91">
        <f t="shared" si="44"/>
        <v>261993.04215577361</v>
      </c>
      <c r="O84" s="91">
        <f t="shared" si="44"/>
        <v>264975.01868159673</v>
      </c>
      <c r="P84" s="91">
        <f t="shared" si="44"/>
        <v>267979.80870141892</v>
      </c>
    </row>
    <row r="85" spans="2:16" outlineLevel="1">
      <c r="B85" s="44" t="s">
        <v>286</v>
      </c>
      <c r="C85" s="63"/>
      <c r="D85" s="172"/>
      <c r="E85" s="172"/>
      <c r="F85" s="172"/>
      <c r="G85" s="89">
        <f>INDEX('BS(TKGSY)'!$C$4:$K$100,MATCH($B85,'BS(TKGSY)'!$B$4:$B$100,0),MATCH(G$7,'BS(TKGSY)'!$C$3:$K$3,0))</f>
        <v>526745</v>
      </c>
      <c r="H85" s="89">
        <f>INDEX('BS(TKGSY)'!$C$4:$K$100,MATCH($B85,'BS(TKGSY)'!$B$4:$B$100,0),MATCH(H$7,'BS(TKGSY)'!$C$3:$K$3,0))</f>
        <v>562431</v>
      </c>
      <c r="I85" s="89">
        <f>INDEX('BS(TKGSY)'!$C$4:$K$100,MATCH($B85,'BS(TKGSY)'!$B$4:$B$100,0),MATCH(I$7,'BS(TKGSY)'!$C$3:$K$3,0))</f>
        <v>550725</v>
      </c>
      <c r="J85" s="89">
        <f>INDEX('BS(TKGSY)'!$C$4:$K$100,MATCH($B85,'BS(TKGSY)'!$B$4:$B$100,0),MATCH(J$7,'BS(TKGSY)'!$C$3:$K$3,0))</f>
        <v>899870</v>
      </c>
      <c r="K85" s="89">
        <f>INDEX('BS(TKGSY)'!$C$4:$K$100,MATCH($B85,'BS(TKGSY)'!$B$4:$B$100,0),MATCH(K$7,'BS(TKGSY)'!$C$3:$K$3,0))</f>
        <v>1217914</v>
      </c>
      <c r="L85" s="99">
        <f>L86*L96</f>
        <v>807825.52455043152</v>
      </c>
      <c r="M85" s="99">
        <f>M86*M96</f>
        <v>817253.23203731608</v>
      </c>
      <c r="N85" s="99">
        <f>N86*N96</f>
        <v>826901.00564946921</v>
      </c>
      <c r="O85" s="99">
        <f>O86*O96</f>
        <v>836775.29630383791</v>
      </c>
      <c r="P85" s="99">
        <f>P86*P96</f>
        <v>846882.78271738871</v>
      </c>
    </row>
    <row r="86" spans="2:16" outlineLevel="1">
      <c r="B86" s="37" t="s">
        <v>231</v>
      </c>
      <c r="C86" s="41"/>
      <c r="D86" s="79"/>
      <c r="E86" s="79"/>
      <c r="F86" s="79"/>
      <c r="G86" s="38">
        <f>INDEX('BS(TKGSY)'!$C$4:$K$100,MATCH($B86,'BS(TKGSY)'!$B$4:$B$100,0),MATCH(G$7,'BS(TKGSY)'!$C$3:$K$3,0))</f>
        <v>337626</v>
      </c>
      <c r="H86" s="38">
        <f>INDEX('BS(TKGSY)'!$C$4:$K$100,MATCH($B86,'BS(TKGSY)'!$B$4:$B$100,0),MATCH(H$7,'BS(TKGSY)'!$C$3:$K$3,0))</f>
        <v>370104</v>
      </c>
      <c r="I86" s="38">
        <f>INDEX('BS(TKGSY)'!$C$4:$K$100,MATCH($B86,'BS(TKGSY)'!$B$4:$B$100,0),MATCH(I$7,'BS(TKGSY)'!$C$3:$K$3,0))</f>
        <v>415010</v>
      </c>
      <c r="J86" s="38">
        <f>INDEX('BS(TKGSY)'!$C$4:$K$100,MATCH($B86,'BS(TKGSY)'!$B$4:$B$100,0),MATCH(J$7,'BS(TKGSY)'!$C$3:$K$3,0))</f>
        <v>551990</v>
      </c>
      <c r="K86" s="38">
        <f>INDEX('BS(TKGSY)'!$C$4:$K$100,MATCH($B86,'BS(TKGSY)'!$B$4:$B$100,0),MATCH(K$7,'BS(TKGSY)'!$C$3:$K$3,0))</f>
        <v>606158</v>
      </c>
      <c r="L86" s="100">
        <f>IF($C$97&gt;$C$98,L98*L90,L97*L83)</f>
        <v>473851.44401846424</v>
      </c>
      <c r="M86" s="100">
        <f>IF($C$97&gt;$C$98,M98*M90,M97*M83)</f>
        <v>479381.5153899155</v>
      </c>
      <c r="N86" s="100">
        <f>IF($C$97&gt;$C$98,N98*N90,N97*N83)</f>
        <v>485040.67237214406</v>
      </c>
      <c r="O86" s="100">
        <f>IF($C$97&gt;$C$98,O98*O90,O97*O83)</f>
        <v>490832.6989212365</v>
      </c>
      <c r="P86" s="100">
        <f>IF($C$97&gt;$C$98,P98*P90,P97*P83)</f>
        <v>496761.51261541067</v>
      </c>
    </row>
    <row r="87" spans="2:16" outlineLevel="1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2:16" outlineLevel="1">
      <c r="B88" s="112" t="s">
        <v>214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</row>
    <row r="89" spans="2:16" outlineLevel="1">
      <c r="B89" s="104" t="s">
        <v>206</v>
      </c>
      <c r="C89" s="105"/>
      <c r="D89" s="107">
        <f>D$8</f>
        <v>42735</v>
      </c>
      <c r="E89" s="107">
        <f>E$8</f>
        <v>43100</v>
      </c>
      <c r="F89" s="107">
        <f t="shared" ref="F89:P89" si="45">F$8</f>
        <v>43465</v>
      </c>
      <c r="G89" s="107">
        <f t="shared" si="45"/>
        <v>43830</v>
      </c>
      <c r="H89" s="107">
        <f t="shared" si="45"/>
        <v>44196</v>
      </c>
      <c r="I89" s="107">
        <f t="shared" si="45"/>
        <v>44561</v>
      </c>
      <c r="J89" s="107">
        <f t="shared" si="45"/>
        <v>44926</v>
      </c>
      <c r="K89" s="107">
        <f t="shared" si="45"/>
        <v>45291</v>
      </c>
      <c r="L89" s="108">
        <f t="shared" si="45"/>
        <v>45657</v>
      </c>
      <c r="M89" s="108">
        <f t="shared" si="45"/>
        <v>46022</v>
      </c>
      <c r="N89" s="108">
        <f t="shared" si="45"/>
        <v>46387</v>
      </c>
      <c r="O89" s="108">
        <f t="shared" si="45"/>
        <v>46752</v>
      </c>
      <c r="P89" s="108">
        <f t="shared" si="45"/>
        <v>47118</v>
      </c>
    </row>
    <row r="90" spans="2:16" outlineLevel="1">
      <c r="B90" s="6" t="s">
        <v>12</v>
      </c>
      <c r="C90" s="39"/>
      <c r="D90" s="72"/>
      <c r="E90" s="72"/>
      <c r="F90" s="72"/>
      <c r="G90" s="22">
        <f>G32</f>
        <v>1962308</v>
      </c>
      <c r="H90" s="22">
        <f>H32</f>
        <v>1925235</v>
      </c>
      <c r="I90" s="22">
        <f>I32</f>
        <v>1765146</v>
      </c>
      <c r="J90" s="22">
        <f>J32</f>
        <v>2154860</v>
      </c>
      <c r="K90" s="22">
        <f>K32</f>
        <v>3289634</v>
      </c>
      <c r="L90" s="96">
        <f>L32</f>
        <v>2179721.404412271</v>
      </c>
      <c r="M90" s="96">
        <f>M32</f>
        <v>2205159.7882949002</v>
      </c>
      <c r="N90" s="96">
        <f>N32</f>
        <v>2231191.967284339</v>
      </c>
      <c r="O90" s="96">
        <f>O32</f>
        <v>2257835.3476166124</v>
      </c>
      <c r="P90" s="96">
        <f>P32</f>
        <v>2285107.950190892</v>
      </c>
    </row>
    <row r="91" spans="2:16" outlineLevel="1">
      <c r="B91" s="6" t="s">
        <v>207</v>
      </c>
      <c r="C91" s="39"/>
      <c r="D91" s="72"/>
      <c r="E91" s="72"/>
      <c r="F91" s="72"/>
      <c r="G91" s="22">
        <f>G33</f>
        <v>1407345</v>
      </c>
      <c r="H91" s="22">
        <f>H33</f>
        <v>1344171</v>
      </c>
      <c r="I91" s="22">
        <f>I33</f>
        <v>1212624</v>
      </c>
      <c r="J91" s="22">
        <f>J33</f>
        <v>1766392</v>
      </c>
      <c r="K91" s="22">
        <f>K33</f>
        <v>2596462</v>
      </c>
      <c r="L91" s="96">
        <f>L33</f>
        <v>1726163.8435220185</v>
      </c>
      <c r="M91" s="96">
        <f>M33</f>
        <v>1785967.5485813846</v>
      </c>
      <c r="N91" s="96">
        <f>N33</f>
        <v>1848089.1147540556</v>
      </c>
      <c r="O91" s="96">
        <f>O33</f>
        <v>1912628.8903168063</v>
      </c>
      <c r="P91" s="96">
        <f>P33</f>
        <v>1979692.0418203729</v>
      </c>
    </row>
    <row r="92" spans="2:16" outlineLevel="1">
      <c r="B92" s="66" t="s">
        <v>292</v>
      </c>
      <c r="C92" s="132">
        <v>0.5</v>
      </c>
      <c r="D92" s="77"/>
      <c r="E92" s="151"/>
      <c r="F92" s="151"/>
      <c r="G92" s="68">
        <f>(1-$K92)*$C92^4</f>
        <v>4.0625000000000001E-2</v>
      </c>
      <c r="H92" s="68">
        <f>(1-$K92)*$C92^3</f>
        <v>8.1250000000000003E-2</v>
      </c>
      <c r="I92" s="68">
        <f>(1-$K92)*$C92^2</f>
        <v>0.16250000000000001</v>
      </c>
      <c r="J92" s="68">
        <f>(1-$K92)*$C92^1</f>
        <v>0.32500000000000001</v>
      </c>
      <c r="K92" s="133">
        <v>0.35</v>
      </c>
      <c r="L92" s="67"/>
      <c r="M92" s="67"/>
      <c r="N92" s="67"/>
      <c r="O92" s="67"/>
      <c r="P92" s="67"/>
    </row>
    <row r="93" spans="2:16" outlineLevel="1">
      <c r="B93" s="6" t="s">
        <v>232</v>
      </c>
      <c r="C93" s="45"/>
      <c r="D93" s="81"/>
      <c r="E93" s="81"/>
      <c r="F93" s="81"/>
      <c r="G93" s="43">
        <f t="shared" ref="E93:K94" si="46">G80/G90*360</f>
        <v>48.657499230497969</v>
      </c>
      <c r="H93" s="43">
        <f t="shared" si="46"/>
        <v>41.347825070705653</v>
      </c>
      <c r="I93" s="43">
        <f t="shared" si="46"/>
        <v>44.661801346744127</v>
      </c>
      <c r="J93" s="43">
        <f t="shared" si="46"/>
        <v>60.925480077592049</v>
      </c>
      <c r="K93" s="43">
        <f t="shared" si="46"/>
        <v>48.814536814733799</v>
      </c>
      <c r="L93" s="101">
        <f>SUMPRODUCT(G93:K93,G$92:K$92)/SUM(G$92:K$92)</f>
        <v>51.574862095066038</v>
      </c>
      <c r="M93" s="101">
        <f t="shared" ref="M93:P98" si="47">L93</f>
        <v>51.574862095066038</v>
      </c>
      <c r="N93" s="101">
        <f t="shared" si="47"/>
        <v>51.574862095066038</v>
      </c>
      <c r="O93" s="101">
        <f t="shared" si="47"/>
        <v>51.574862095066038</v>
      </c>
      <c r="P93" s="101">
        <f t="shared" si="47"/>
        <v>51.574862095066038</v>
      </c>
    </row>
    <row r="94" spans="2:16" outlineLevel="1">
      <c r="B94" s="6" t="s">
        <v>288</v>
      </c>
      <c r="C94" s="45"/>
      <c r="D94" s="81"/>
      <c r="E94" s="81"/>
      <c r="F94" s="81"/>
      <c r="G94" s="43">
        <f t="shared" si="46"/>
        <v>20.121292220457672</v>
      </c>
      <c r="H94" s="43">
        <f t="shared" si="46"/>
        <v>21.017950841076026</v>
      </c>
      <c r="I94" s="43">
        <f t="shared" si="46"/>
        <v>17.824486403040019</v>
      </c>
      <c r="J94" s="43">
        <f t="shared" si="46"/>
        <v>13.682466858998456</v>
      </c>
      <c r="K94" s="43">
        <f t="shared" si="46"/>
        <v>18.824400280073423</v>
      </c>
      <c r="L94" s="101">
        <f>SUMPRODUCT(G94:K94,G$92:K$92)/SUM(G$92:K$92)</f>
        <v>17.153831265133782</v>
      </c>
      <c r="M94" s="101">
        <f t="shared" si="47"/>
        <v>17.153831265133782</v>
      </c>
      <c r="N94" s="101">
        <f t="shared" si="47"/>
        <v>17.153831265133782</v>
      </c>
      <c r="O94" s="101">
        <f t="shared" si="47"/>
        <v>17.153831265133782</v>
      </c>
      <c r="P94" s="101">
        <f t="shared" si="47"/>
        <v>17.153831265133782</v>
      </c>
    </row>
    <row r="95" spans="2:16" outlineLevel="1">
      <c r="B95" s="6" t="s">
        <v>291</v>
      </c>
      <c r="C95" s="134">
        <f>_xlfn.STDEV.P(E95:K95)</f>
        <v>4.5122812212632223E-2</v>
      </c>
      <c r="D95" s="82"/>
      <c r="E95" s="58"/>
      <c r="F95" s="58"/>
      <c r="G95" s="59">
        <f t="shared" ref="E95:K95" si="48">G83/G90</f>
        <v>0.22099130207898046</v>
      </c>
      <c r="H95" s="59">
        <f t="shared" si="48"/>
        <v>0.21355470890566605</v>
      </c>
      <c r="I95" s="59">
        <f t="shared" si="48"/>
        <v>0.2225560945100292</v>
      </c>
      <c r="J95" s="59">
        <f t="shared" si="48"/>
        <v>0.33417530605236534</v>
      </c>
      <c r="K95" s="59">
        <f t="shared" si="48"/>
        <v>0.23236992321942199</v>
      </c>
      <c r="L95" s="102">
        <f>SUMPRODUCT(G95:K95,G$72:K$72)/SUM(G$72:K$72)</f>
        <v>0.2680836296812919</v>
      </c>
      <c r="M95" s="102">
        <f t="shared" si="47"/>
        <v>0.2680836296812919</v>
      </c>
      <c r="N95" s="102">
        <f t="shared" si="47"/>
        <v>0.2680836296812919</v>
      </c>
      <c r="O95" s="102">
        <f t="shared" si="47"/>
        <v>0.2680836296812919</v>
      </c>
      <c r="P95" s="102">
        <f t="shared" si="47"/>
        <v>0.2680836296812919</v>
      </c>
    </row>
    <row r="96" spans="2:16" outlineLevel="1">
      <c r="B96" s="6" t="s">
        <v>290</v>
      </c>
      <c r="C96" s="134">
        <f>_xlfn.STDEV.P(E96:K96)</f>
        <v>0.22384039557831917</v>
      </c>
      <c r="D96" s="82"/>
      <c r="E96" s="58"/>
      <c r="F96" s="58"/>
      <c r="G96" s="59">
        <f t="shared" ref="E96:K96" si="49">G85/G86</f>
        <v>1.5601434723629104</v>
      </c>
      <c r="H96" s="59">
        <f t="shared" si="49"/>
        <v>1.5196566370533688</v>
      </c>
      <c r="I96" s="59">
        <f t="shared" si="49"/>
        <v>1.3270162164767114</v>
      </c>
      <c r="J96" s="59">
        <f t="shared" si="49"/>
        <v>1.6302288084929075</v>
      </c>
      <c r="K96" s="59">
        <f t="shared" si="49"/>
        <v>2.0092352159008047</v>
      </c>
      <c r="L96" s="102">
        <f>SUMPRODUCT(G96:K96,G$92:K$92)/SUM(G$92:K$92)</f>
        <v>1.7048075609936382</v>
      </c>
      <c r="M96" s="102">
        <f t="shared" si="47"/>
        <v>1.7048075609936382</v>
      </c>
      <c r="N96" s="102">
        <f t="shared" si="47"/>
        <v>1.7048075609936382</v>
      </c>
      <c r="O96" s="102">
        <f t="shared" si="47"/>
        <v>1.7048075609936382</v>
      </c>
      <c r="P96" s="102">
        <f t="shared" si="47"/>
        <v>1.7048075609936382</v>
      </c>
    </row>
    <row r="97" spans="2:16" outlineLevel="1">
      <c r="B97" s="6" t="s">
        <v>294</v>
      </c>
      <c r="C97" s="134">
        <f>_xlfn.STDEV.P(E97:K97)</f>
        <v>0.13582092649390834</v>
      </c>
      <c r="D97" s="82"/>
      <c r="E97" s="58"/>
      <c r="F97" s="58"/>
      <c r="G97" s="59">
        <f t="shared" ref="E97:K97" si="50">G83/G86</f>
        <v>1.2844182616267705</v>
      </c>
      <c r="H97" s="59">
        <f t="shared" si="50"/>
        <v>1.1108850485269006</v>
      </c>
      <c r="I97" s="59">
        <f t="shared" si="50"/>
        <v>0.94658923881352253</v>
      </c>
      <c r="J97" s="59">
        <f t="shared" si="50"/>
        <v>1.304554430333883</v>
      </c>
      <c r="K97" s="59">
        <f t="shared" si="50"/>
        <v>1.2610771449028142</v>
      </c>
      <c r="L97" s="102">
        <f>SUMPRODUCT(G97:K97,G$92:K$92)/SUM(G$92:K$92)</f>
        <v>1.2108058308305851</v>
      </c>
      <c r="M97" s="102">
        <f t="shared" si="47"/>
        <v>1.2108058308305851</v>
      </c>
      <c r="N97" s="102">
        <f t="shared" si="47"/>
        <v>1.2108058308305851</v>
      </c>
      <c r="O97" s="102">
        <f t="shared" si="47"/>
        <v>1.2108058308305851</v>
      </c>
      <c r="P97" s="102">
        <f t="shared" si="47"/>
        <v>1.2108058308305851</v>
      </c>
    </row>
    <row r="98" spans="2:16" outlineLevel="1">
      <c r="B98" s="25" t="s">
        <v>289</v>
      </c>
      <c r="C98" s="135">
        <f t="shared" ref="C98" si="51">_xlfn.STDEV.P(E98:K98)</f>
        <v>3.21199472251485E-2</v>
      </c>
      <c r="D98" s="80"/>
      <c r="E98" s="167"/>
      <c r="F98" s="167"/>
      <c r="G98" s="60">
        <f t="shared" ref="E98:K98" si="52">G86/G90</f>
        <v>0.17205555906616088</v>
      </c>
      <c r="H98" s="60">
        <f t="shared" si="52"/>
        <v>0.19223835012349141</v>
      </c>
      <c r="I98" s="60">
        <f t="shared" si="52"/>
        <v>0.23511369597755652</v>
      </c>
      <c r="J98" s="60">
        <f t="shared" si="52"/>
        <v>0.25616049302506894</v>
      </c>
      <c r="K98" s="60">
        <f t="shared" si="52"/>
        <v>0.18426305175590962</v>
      </c>
      <c r="L98" s="103">
        <f>SUMPRODUCT(G98:K98,G$92:K$92)/SUM(G$92:K$92)</f>
        <v>0.21739082942401583</v>
      </c>
      <c r="M98" s="103">
        <f t="shared" si="47"/>
        <v>0.21739082942401583</v>
      </c>
      <c r="N98" s="103">
        <f t="shared" si="47"/>
        <v>0.21739082942401583</v>
      </c>
      <c r="O98" s="103">
        <f t="shared" si="47"/>
        <v>0.21739082942401583</v>
      </c>
      <c r="P98" s="103">
        <f t="shared" si="47"/>
        <v>0.21739082942401583</v>
      </c>
    </row>
    <row r="99" spans="2:16" outlineLevel="1"/>
    <row r="101" spans="2:16" ht="26">
      <c r="B101" s="49" t="s">
        <v>331</v>
      </c>
    </row>
    <row r="102" spans="2:16">
      <c r="B102" s="113" t="s">
        <v>332</v>
      </c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</row>
    <row r="103" spans="2:16">
      <c r="B103" s="109" t="s">
        <v>206</v>
      </c>
      <c r="C103" s="110"/>
      <c r="D103" s="107">
        <f>D$8</f>
        <v>42735</v>
      </c>
      <c r="E103" s="107">
        <f>E$8</f>
        <v>43100</v>
      </c>
      <c r="F103" s="107">
        <f t="shared" ref="F103:P103" si="53">F$8</f>
        <v>43465</v>
      </c>
      <c r="G103" s="107">
        <f t="shared" si="53"/>
        <v>43830</v>
      </c>
      <c r="H103" s="107">
        <f t="shared" si="53"/>
        <v>44196</v>
      </c>
      <c r="I103" s="107">
        <f t="shared" si="53"/>
        <v>44561</v>
      </c>
      <c r="J103" s="107">
        <f t="shared" si="53"/>
        <v>44926</v>
      </c>
      <c r="K103" s="107">
        <f t="shared" si="53"/>
        <v>45291</v>
      </c>
      <c r="L103" s="108">
        <f t="shared" si="53"/>
        <v>45657</v>
      </c>
      <c r="M103" s="108">
        <f t="shared" si="53"/>
        <v>46022</v>
      </c>
      <c r="N103" s="108">
        <f t="shared" si="53"/>
        <v>46387</v>
      </c>
      <c r="O103" s="108">
        <f t="shared" si="53"/>
        <v>46752</v>
      </c>
      <c r="P103" s="108">
        <f t="shared" si="53"/>
        <v>47118</v>
      </c>
    </row>
    <row r="104" spans="2:16">
      <c r="B104" s="66" t="s">
        <v>292</v>
      </c>
      <c r="C104" s="201">
        <v>0.5</v>
      </c>
      <c r="D104" s="68">
        <f>(1-$K104)*$C104^6</f>
        <v>1.015625E-2</v>
      </c>
      <c r="E104" s="68">
        <f>(1-$K104)*$C104^6</f>
        <v>1.015625E-2</v>
      </c>
      <c r="F104" s="68">
        <f>(1-$K104)*$C104^5</f>
        <v>2.0312500000000001E-2</v>
      </c>
      <c r="G104" s="68">
        <f>(1-$K104)*$C104^4</f>
        <v>4.0625000000000001E-2</v>
      </c>
      <c r="H104" s="68">
        <f>(1-$K104)*$C104^3</f>
        <v>8.1250000000000003E-2</v>
      </c>
      <c r="I104" s="68">
        <f>(1-$K104)*$C104^2</f>
        <v>0.16250000000000001</v>
      </c>
      <c r="J104" s="68">
        <f>(1-$K104)*$C104^1</f>
        <v>0.32500000000000001</v>
      </c>
      <c r="K104" s="133">
        <v>0.35</v>
      </c>
    </row>
    <row r="105" spans="2:16">
      <c r="B105" s="1" t="s">
        <v>333</v>
      </c>
      <c r="C105" s="4"/>
      <c r="D105" s="200">
        <v>116.96</v>
      </c>
      <c r="E105" s="200">
        <v>112.69</v>
      </c>
      <c r="F105" s="200">
        <v>110.27500000000001</v>
      </c>
      <c r="G105" s="200">
        <v>108.877</v>
      </c>
      <c r="H105" s="200">
        <v>103.202</v>
      </c>
      <c r="I105" s="200">
        <v>115.063</v>
      </c>
      <c r="J105" s="200">
        <v>131.11500000000001</v>
      </c>
      <c r="K105" s="200">
        <v>141.02500000000001</v>
      </c>
      <c r="L105" s="200">
        <f>SUMPRODUCT(D105:K105,D$104:K$104)/SUM(D$104:K$104)</f>
        <v>128.04949687499999</v>
      </c>
      <c r="M105" s="200">
        <f>L105</f>
        <v>128.04949687499999</v>
      </c>
      <c r="N105" s="200">
        <f>M105</f>
        <v>128.04949687499999</v>
      </c>
      <c r="O105" s="200">
        <f>N105</f>
        <v>128.04949687499999</v>
      </c>
      <c r="P105" s="200">
        <f>O105</f>
        <v>128.04949687499999</v>
      </c>
    </row>
    <row r="106" spans="2:16">
      <c r="B106" s="1" t="s">
        <v>334</v>
      </c>
      <c r="C106" s="4"/>
      <c r="D106" s="202">
        <v>8.5470000000000008E-3</v>
      </c>
      <c r="E106" s="202">
        <v>8.8500000000000002E-3</v>
      </c>
      <c r="F106" s="202">
        <v>9.0910000000000001E-3</v>
      </c>
      <c r="G106" s="202">
        <v>9.1739999999999999E-3</v>
      </c>
      <c r="H106" s="202">
        <v>9.7090000000000006E-3</v>
      </c>
      <c r="I106" s="202">
        <v>8.6960000000000006E-3</v>
      </c>
      <c r="J106" s="202">
        <v>7.6340000000000002E-3</v>
      </c>
      <c r="K106" s="202">
        <v>7.0920000000000002E-3</v>
      </c>
      <c r="L106" s="202">
        <v>7.8130000000000005E-3</v>
      </c>
      <c r="M106" s="202">
        <v>7.8130000000000005E-3</v>
      </c>
      <c r="N106" s="202">
        <v>7.8130000000000005E-3</v>
      </c>
      <c r="O106" s="202">
        <v>7.8130000000000005E-3</v>
      </c>
      <c r="P106" s="202">
        <v>7.8130000000000005E-3</v>
      </c>
    </row>
  </sheetData>
  <mergeCells count="5">
    <mergeCell ref="B13:C13"/>
    <mergeCell ref="E13:H13"/>
    <mergeCell ref="J13:P13"/>
    <mergeCell ref="L15:P15"/>
    <mergeCell ref="J17:J21"/>
  </mergeCells>
  <phoneticPr fontId="2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E0119-23A7-4237-A6CC-8D3BF156E109}">
  <sheetPr>
    <tabColor theme="3" tint="0.89999084444715716"/>
  </sheetPr>
  <dimension ref="A1:S106"/>
  <sheetViews>
    <sheetView showGridLines="0" tabSelected="1" topLeftCell="A8" zoomScale="70" zoomScaleNormal="70" workbookViewId="0">
      <selection activeCell="U22" sqref="U22"/>
    </sheetView>
  </sheetViews>
  <sheetFormatPr defaultRowHeight="14.5" outlineLevelRow="1"/>
  <cols>
    <col min="1" max="1" width="3" style="1" customWidth="1"/>
    <col min="2" max="2" width="37.9140625" style="1" customWidth="1"/>
    <col min="3" max="3" width="12.83203125" style="1" bestFit="1" customWidth="1"/>
    <col min="4" max="8" width="8.6640625" style="1"/>
    <col min="9" max="9" width="9.33203125" style="1" bestFit="1" customWidth="1"/>
    <col min="10" max="16" width="8.6640625" style="1"/>
    <col min="17" max="17" width="3.83203125" style="1" customWidth="1"/>
    <col min="18" max="16384" width="8.6640625" style="1"/>
  </cols>
  <sheetData>
    <row r="1" spans="2:16" ht="18.5">
      <c r="B1" s="182" t="s">
        <v>317</v>
      </c>
      <c r="C1" s="183" t="s">
        <v>320</v>
      </c>
    </row>
    <row r="2" spans="2:16" ht="18.5">
      <c r="B2" s="182" t="s">
        <v>319</v>
      </c>
      <c r="C2" s="183" t="s">
        <v>324</v>
      </c>
    </row>
    <row r="3" spans="2:16" ht="18.5">
      <c r="B3" s="182" t="s">
        <v>318</v>
      </c>
      <c r="C3" s="184">
        <v>45375</v>
      </c>
    </row>
    <row r="4" spans="2:16" ht="18.5">
      <c r="B4" s="182"/>
      <c r="C4" s="185"/>
    </row>
    <row r="6" spans="2:16" ht="26">
      <c r="B6" s="21" t="s">
        <v>228</v>
      </c>
    </row>
    <row r="7" spans="2:16" outlineLevel="1">
      <c r="B7" s="112" t="s">
        <v>205</v>
      </c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</row>
    <row r="8" spans="2:16" outlineLevel="1">
      <c r="B8" s="104" t="s">
        <v>206</v>
      </c>
      <c r="C8" s="105"/>
      <c r="D8" s="106">
        <v>42735</v>
      </c>
      <c r="E8" s="107">
        <v>43100</v>
      </c>
      <c r="F8" s="107">
        <v>43465</v>
      </c>
      <c r="G8" s="107">
        <v>43830</v>
      </c>
      <c r="H8" s="107">
        <v>44196</v>
      </c>
      <c r="I8" s="107">
        <v>44561</v>
      </c>
      <c r="J8" s="107">
        <v>44926</v>
      </c>
      <c r="K8" s="107">
        <v>45291</v>
      </c>
      <c r="L8" s="108">
        <v>45657</v>
      </c>
      <c r="M8" s="108">
        <v>46022</v>
      </c>
      <c r="N8" s="108">
        <v>46387</v>
      </c>
      <c r="O8" s="108">
        <v>46752</v>
      </c>
      <c r="P8" s="108">
        <v>47118</v>
      </c>
    </row>
    <row r="9" spans="2:16" outlineLevel="1">
      <c r="B9" s="6" t="s">
        <v>213</v>
      </c>
      <c r="C9" s="39"/>
      <c r="D9" s="72"/>
      <c r="E9" s="87">
        <f>E51</f>
        <v>9413</v>
      </c>
      <c r="F9" s="1">
        <f t="shared" ref="F9:P9" si="0">F51</f>
        <v>21110</v>
      </c>
      <c r="G9" s="22">
        <f t="shared" si="0"/>
        <v>33226</v>
      </c>
      <c r="H9" s="22">
        <f t="shared" si="0"/>
        <v>41721</v>
      </c>
      <c r="I9" s="22">
        <f t="shared" si="0"/>
        <v>-2188</v>
      </c>
      <c r="J9" s="22">
        <f t="shared" si="0"/>
        <v>958</v>
      </c>
      <c r="K9" s="22">
        <f t="shared" si="0"/>
        <v>30980</v>
      </c>
      <c r="L9" s="96">
        <f t="shared" si="0"/>
        <v>41516.766272584413</v>
      </c>
      <c r="M9" s="96">
        <f t="shared" si="0"/>
        <v>38038.922915695803</v>
      </c>
      <c r="N9" s="96">
        <f t="shared" si="0"/>
        <v>44339.232839397795</v>
      </c>
      <c r="O9" s="96">
        <f t="shared" si="0"/>
        <v>50796.813531898239</v>
      </c>
      <c r="P9" s="96">
        <f t="shared" si="0"/>
        <v>57246.968509513375</v>
      </c>
    </row>
    <row r="10" spans="2:16" outlineLevel="1">
      <c r="B10" s="25" t="s">
        <v>218</v>
      </c>
      <c r="C10" s="30"/>
      <c r="D10" s="74"/>
      <c r="E10" s="3"/>
      <c r="F10" s="3"/>
      <c r="G10" s="25"/>
      <c r="H10" s="25"/>
      <c r="I10" s="25"/>
      <c r="J10" s="25"/>
      <c r="K10" s="25"/>
      <c r="L10" s="111">
        <v>1</v>
      </c>
      <c r="M10" s="111">
        <f>L10+1</f>
        <v>2</v>
      </c>
      <c r="N10" s="111">
        <f t="shared" ref="N10:P10" si="1">M10+1</f>
        <v>3</v>
      </c>
      <c r="O10" s="111">
        <f t="shared" si="1"/>
        <v>4</v>
      </c>
      <c r="P10" s="111">
        <f t="shared" si="1"/>
        <v>5</v>
      </c>
    </row>
    <row r="11" spans="2:16" outlineLevel="1">
      <c r="B11" s="37" t="s">
        <v>219</v>
      </c>
      <c r="C11" s="42"/>
      <c r="D11" s="75"/>
      <c r="E11" s="37"/>
      <c r="F11" s="37"/>
      <c r="G11" s="37"/>
      <c r="H11" s="37"/>
      <c r="I11" s="37"/>
      <c r="J11" s="37"/>
      <c r="K11" s="37"/>
      <c r="L11" s="100">
        <f>L9/(1+$C$16)^L10</f>
        <v>38115.458141090108</v>
      </c>
      <c r="M11" s="100">
        <f t="shared" ref="M11:P11" si="2">M9/(1+$C$16)^M10</f>
        <v>32061.472287220822</v>
      </c>
      <c r="N11" s="100">
        <f t="shared" si="2"/>
        <v>34310.026238766484</v>
      </c>
      <c r="O11" s="100">
        <f t="shared" si="2"/>
        <v>36086.683506378882</v>
      </c>
      <c r="P11" s="100">
        <f t="shared" si="2"/>
        <v>37337.103152692078</v>
      </c>
    </row>
    <row r="12" spans="2:16" outlineLevel="1">
      <c r="B12" s="6"/>
      <c r="C12" s="6"/>
      <c r="D12" s="6"/>
      <c r="E12" s="6"/>
      <c r="I12" s="6"/>
      <c r="J12" s="6"/>
      <c r="K12" s="6"/>
      <c r="L12" s="6"/>
      <c r="M12" s="6"/>
      <c r="N12" s="6"/>
      <c r="O12" s="6"/>
      <c r="P12" s="6"/>
    </row>
    <row r="13" spans="2:16" ht="18" customHeight="1" outlineLevel="1">
      <c r="B13" s="119" t="s">
        <v>220</v>
      </c>
      <c r="C13" s="120"/>
      <c r="D13" s="5"/>
      <c r="E13" s="119" t="s">
        <v>233</v>
      </c>
      <c r="F13" s="119"/>
      <c r="G13" s="119"/>
      <c r="H13" s="119"/>
      <c r="I13" s="6"/>
      <c r="J13" s="119" t="s">
        <v>0</v>
      </c>
      <c r="K13" s="119"/>
      <c r="L13" s="119"/>
      <c r="M13" s="119"/>
      <c r="N13" s="119"/>
      <c r="O13" s="119"/>
      <c r="P13" s="119"/>
    </row>
    <row r="14" spans="2:16" outlineLevel="1">
      <c r="B14" s="6" t="s">
        <v>221</v>
      </c>
      <c r="C14" s="122">
        <f>SUM(L11:P11)</f>
        <v>177910.7433261484</v>
      </c>
      <c r="D14" s="116" t="s">
        <v>127</v>
      </c>
      <c r="E14" s="6" t="s">
        <v>234</v>
      </c>
      <c r="H14" s="22">
        <f>INDEX('BS(AMZN)'!$C$4:$K$100,MATCH($D14,'BS(AMZN)'!$B$4:$B$100,0),MATCH(K$8,'BS(AMZN)'!$C$3:$K$3,0))</f>
        <v>201875</v>
      </c>
      <c r="I14" s="6"/>
      <c r="J14" s="6"/>
      <c r="K14" s="6"/>
      <c r="L14" s="6"/>
      <c r="M14" s="6"/>
      <c r="N14" s="6"/>
      <c r="O14" s="6"/>
      <c r="P14" s="6"/>
    </row>
    <row r="15" spans="2:16" outlineLevel="1">
      <c r="B15" s="6" t="s">
        <v>1</v>
      </c>
      <c r="C15" s="161">
        <v>2.5000000000000001E-2</v>
      </c>
      <c r="D15" s="117" t="s">
        <v>40</v>
      </c>
      <c r="E15" s="6" t="s">
        <v>235</v>
      </c>
      <c r="H15" s="22">
        <f>INDEX('BS(AMZN)'!$C$4:$K$100,MATCH($D15,'BS(AMZN)'!$B$4:$B$100,0),MATCH(K$8,'BS(AMZN)'!$C$3:$K$3,0))</f>
        <v>58314</v>
      </c>
      <c r="I15" s="6"/>
      <c r="J15" s="6"/>
      <c r="K15" s="6"/>
      <c r="L15" s="148" t="s">
        <v>1</v>
      </c>
      <c r="M15" s="139"/>
      <c r="N15" s="139"/>
      <c r="O15" s="139"/>
      <c r="P15" s="140"/>
    </row>
    <row r="16" spans="2:16" outlineLevel="1">
      <c r="B16" s="6" t="s">
        <v>2</v>
      </c>
      <c r="C16" s="137">
        <f>H26</f>
        <v>8.9236973589661428E-2</v>
      </c>
      <c r="D16" s="118" t="s">
        <v>301</v>
      </c>
      <c r="E16" s="6" t="s">
        <v>236</v>
      </c>
      <c r="H16" s="59">
        <f>INDEX('PL(AMZN)'!$C$4:$K$100,MATCH($D16,'PL(AMZN)'!$B$4:$B$100,0),MATCH(K$8,'PL(AMZN)'!$C$3:$K$3,0))/H15</f>
        <v>1.2089721164728881E-2</v>
      </c>
      <c r="I16" s="6"/>
      <c r="J16" s="6"/>
      <c r="K16" s="7"/>
      <c r="L16" s="149">
        <f>M16-0.01</f>
        <v>5.000000000000001E-3</v>
      </c>
      <c r="M16" s="144">
        <f>N16-0.01</f>
        <v>1.5000000000000001E-2</v>
      </c>
      <c r="N16" s="144">
        <f>C15</f>
        <v>2.5000000000000001E-2</v>
      </c>
      <c r="O16" s="144">
        <f>N16+0.01</f>
        <v>3.5000000000000003E-2</v>
      </c>
      <c r="P16" s="147">
        <f>O16+0.01</f>
        <v>4.5000000000000005E-2</v>
      </c>
    </row>
    <row r="17" spans="1:16" outlineLevel="1">
      <c r="B17" s="6" t="s">
        <v>222</v>
      </c>
      <c r="C17" s="122">
        <f>P9*(1+C15)/(C16-C15)</f>
        <v>913463.68677143147</v>
      </c>
      <c r="D17" s="22"/>
      <c r="E17" s="6" t="s">
        <v>237</v>
      </c>
      <c r="H17" s="23">
        <f>K43/K42</f>
        <v>0.19320525344621731</v>
      </c>
      <c r="I17" s="6"/>
      <c r="J17" s="145" t="s">
        <v>2</v>
      </c>
      <c r="K17" s="146">
        <f>K18-0.01</f>
        <v>6.9236973589661438E-2</v>
      </c>
      <c r="L17" s="153">
        <f t="shared" ref="L17:P21" si="3">((($P$9*(1+L$16)/($K17-L$16))/(1+$K17)^$P$10)+$C$14+$C$20-$C$21-$C$22)/$C$24</f>
        <v>80.75080529535947</v>
      </c>
      <c r="M17" s="154">
        <f t="shared" si="3"/>
        <v>92.732488152801395</v>
      </c>
      <c r="N17" s="154">
        <f t="shared" si="3"/>
        <v>110.13121557056203</v>
      </c>
      <c r="O17" s="154">
        <f t="shared" si="3"/>
        <v>137.69364941067687</v>
      </c>
      <c r="P17" s="155">
        <f t="shared" si="3"/>
        <v>188.00020494416347</v>
      </c>
    </row>
    <row r="18" spans="1:16" outlineLevel="1">
      <c r="B18" s="6" t="s">
        <v>223</v>
      </c>
      <c r="C18" s="122">
        <f>C17/(1+C16)^P10</f>
        <v>595771.07377407327</v>
      </c>
      <c r="D18" s="22"/>
      <c r="E18" s="25" t="s">
        <v>238</v>
      </c>
      <c r="G18" s="3"/>
      <c r="H18" s="35">
        <f>H15/SUM(H14:H15)</f>
        <v>0.22412169615164362</v>
      </c>
      <c r="I18" s="22"/>
      <c r="J18" s="142"/>
      <c r="K18" s="141">
        <f>K19-0.01</f>
        <v>7.9236973589661433E-2</v>
      </c>
      <c r="L18" s="186">
        <f t="shared" si="3"/>
        <v>70.119306667088424</v>
      </c>
      <c r="M18" s="156">
        <f>((($P$9*(1+M$16)/($K18-M$16))/(1+$K18)^$P$10)+$C$14+$C$20-$C$21-$C$22)/$C$24</f>
        <v>78.553074076556896</v>
      </c>
      <c r="N18" s="156">
        <f t="shared" ref="N18:O18" si="4">((($P$9*(1+N$16)/($K18-N$16))/(1+$K18)^$P$10)+$C$14+$C$20-$C$21-$C$22)/$C$24</f>
        <v>90.096811254351863</v>
      </c>
      <c r="O18" s="156">
        <f t="shared" si="4"/>
        <v>106.85959315472375</v>
      </c>
      <c r="P18" s="157">
        <f t="shared" si="3"/>
        <v>133.41458513842724</v>
      </c>
    </row>
    <row r="19" spans="1:16" outlineLevel="1">
      <c r="B19" s="6" t="s">
        <v>224</v>
      </c>
      <c r="C19" s="122">
        <f>SUM(C14,C18)</f>
        <v>773681.81710022164</v>
      </c>
      <c r="D19" s="22"/>
      <c r="E19" s="37" t="s">
        <v>239</v>
      </c>
      <c r="F19" s="46"/>
      <c r="G19" s="46"/>
      <c r="H19" s="47">
        <f>H16*(1-H17)</f>
        <v>9.7539235230033397E-3</v>
      </c>
      <c r="I19" s="6"/>
      <c r="J19" s="142"/>
      <c r="K19" s="141">
        <f>H26</f>
        <v>8.9236973589661428E-2</v>
      </c>
      <c r="L19" s="186">
        <f t="shared" si="3"/>
        <v>62.126556759906222</v>
      </c>
      <c r="M19" s="156">
        <f t="shared" ref="M19:O20" si="5">((($P$9*(1+M$16)/($K19-M$16))/(1+$K19)^$P$10)+$C$14+$C$20-$C$21-$C$22)/$C$24</f>
        <v>68.324986722431476</v>
      </c>
      <c r="N19" s="187">
        <f t="shared" si="5"/>
        <v>76.453280318358907</v>
      </c>
      <c r="O19" s="156">
        <f t="shared" si="5"/>
        <v>87.578899560596696</v>
      </c>
      <c r="P19" s="157">
        <f t="shared" si="3"/>
        <v>103.73452801885279</v>
      </c>
    </row>
    <row r="20" spans="1:16" outlineLevel="1">
      <c r="B20" s="20" t="s">
        <v>302</v>
      </c>
      <c r="C20" s="122">
        <f>K84</f>
        <v>86780</v>
      </c>
      <c r="D20" s="22"/>
      <c r="E20" s="6" t="s">
        <v>240</v>
      </c>
      <c r="H20" s="152">
        <v>4.2020000000000002E-2</v>
      </c>
      <c r="I20" s="6"/>
      <c r="J20" s="142"/>
      <c r="K20" s="141">
        <f>K19+0.01</f>
        <v>9.9236973589661423E-2</v>
      </c>
      <c r="L20" s="186">
        <f t="shared" si="3"/>
        <v>55.926116254085493</v>
      </c>
      <c r="M20" s="156">
        <f t="shared" si="5"/>
        <v>60.633773280299692</v>
      </c>
      <c r="N20" s="156">
        <f t="shared" si="5"/>
        <v>66.609708577725584</v>
      </c>
      <c r="O20" s="156">
        <f t="shared" si="5"/>
        <v>74.446234424014946</v>
      </c>
      <c r="P20" s="157">
        <f t="shared" si="3"/>
        <v>85.172495934973938</v>
      </c>
    </row>
    <row r="21" spans="1:16" outlineLevel="1">
      <c r="B21" s="20" t="s">
        <v>303</v>
      </c>
      <c r="C21" s="122">
        <f>H15</f>
        <v>58314</v>
      </c>
      <c r="D21" s="22"/>
      <c r="E21" s="6" t="s">
        <v>241</v>
      </c>
      <c r="H21" s="152">
        <v>0.10199999999999999</v>
      </c>
      <c r="I21" s="6"/>
      <c r="J21" s="143"/>
      <c r="K21" s="147">
        <f>K20+0.01</f>
        <v>0.10923697358966142</v>
      </c>
      <c r="L21" s="188">
        <f t="shared" si="3"/>
        <v>50.996769308035567</v>
      </c>
      <c r="M21" s="158">
        <f t="shared" si="3"/>
        <v>54.665820226541442</v>
      </c>
      <c r="N21" s="158">
        <f t="shared" si="3"/>
        <v>59.205997151159245</v>
      </c>
      <c r="O21" s="158">
        <f t="shared" si="3"/>
        <v>64.969331945792945</v>
      </c>
      <c r="P21" s="159">
        <f t="shared" si="3"/>
        <v>72.527064724195071</v>
      </c>
    </row>
    <row r="22" spans="1:16" outlineLevel="1">
      <c r="B22" s="27" t="s">
        <v>304</v>
      </c>
      <c r="C22" s="136"/>
      <c r="D22" s="22"/>
      <c r="E22" s="6" t="s">
        <v>242</v>
      </c>
      <c r="H22" s="23">
        <f>H21-H20</f>
        <v>5.9979999999999992E-2</v>
      </c>
      <c r="I22" s="6"/>
      <c r="J22" s="6"/>
      <c r="K22" s="6"/>
      <c r="L22" s="6"/>
      <c r="M22" s="6"/>
      <c r="N22" s="6"/>
      <c r="O22" s="6"/>
      <c r="P22" s="6"/>
    </row>
    <row r="23" spans="1:16" outlineLevel="1">
      <c r="B23" s="44" t="s">
        <v>225</v>
      </c>
      <c r="C23" s="123">
        <f>C19+C20-C21-C22</f>
        <v>802147.81710022164</v>
      </c>
      <c r="D23" s="22"/>
      <c r="E23" s="6" t="s">
        <v>243</v>
      </c>
      <c r="H23" s="160">
        <v>1.17</v>
      </c>
      <c r="I23" s="6"/>
      <c r="J23" s="6"/>
      <c r="K23" s="6"/>
      <c r="L23" s="6"/>
      <c r="M23" s="6"/>
      <c r="N23" s="6"/>
      <c r="O23" s="6"/>
      <c r="P23" s="6"/>
    </row>
    <row r="24" spans="1:16" outlineLevel="1">
      <c r="A24" s="121" t="s">
        <v>27</v>
      </c>
      <c r="B24" s="44" t="s">
        <v>226</v>
      </c>
      <c r="C24" s="123">
        <f>INDEX('PL(AMZN)'!$C$4:$K$100,MATCH($A24,'PL(AMZN)'!$B$4:$B$100,0),MATCH(K$8,'PL(AMZN)'!$C$3:$K$3,0))</f>
        <v>10492</v>
      </c>
      <c r="D24" s="71"/>
      <c r="E24" s="25" t="s">
        <v>244</v>
      </c>
      <c r="F24" s="3"/>
      <c r="G24" s="3"/>
      <c r="H24" s="35">
        <f>H14/SUM(H14:H15)</f>
        <v>0.77587830384835643</v>
      </c>
      <c r="I24" s="6"/>
      <c r="J24" s="6"/>
      <c r="K24" s="6"/>
      <c r="L24" s="6"/>
      <c r="M24" s="6"/>
      <c r="N24" s="6"/>
      <c r="O24" s="6"/>
      <c r="P24" s="6"/>
    </row>
    <row r="25" spans="1:16" outlineLevel="1">
      <c r="C25" s="124"/>
      <c r="E25" s="37" t="s">
        <v>245</v>
      </c>
      <c r="F25" s="46"/>
      <c r="G25" s="46"/>
      <c r="H25" s="47">
        <f>H20+H23*H22</f>
        <v>0.11219659999999999</v>
      </c>
      <c r="I25" s="6"/>
      <c r="J25" s="6"/>
      <c r="K25" s="6"/>
      <c r="L25" s="6"/>
      <c r="M25" s="6"/>
      <c r="N25" s="6"/>
      <c r="O25" s="6"/>
      <c r="P25" s="6"/>
    </row>
    <row r="26" spans="1:16" outlineLevel="1">
      <c r="B26" s="28" t="s">
        <v>227</v>
      </c>
      <c r="C26" s="138">
        <f>C23/C24</f>
        <v>76.453280318358907</v>
      </c>
      <c r="D26" s="24"/>
      <c r="E26" s="28" t="s">
        <v>2</v>
      </c>
      <c r="F26" s="48"/>
      <c r="G26" s="48"/>
      <c r="H26" s="48">
        <f>H18*H19+H24*H25</f>
        <v>8.9236973589661428E-2</v>
      </c>
      <c r="I26" s="6"/>
      <c r="J26" s="6"/>
      <c r="K26" s="6"/>
      <c r="L26" s="6"/>
      <c r="M26" s="6"/>
      <c r="N26" s="6"/>
      <c r="O26" s="6"/>
      <c r="P26" s="6"/>
    </row>
    <row r="27" spans="1:16" outlineLevel="1">
      <c r="B27" s="26" t="str">
        <f>_xlfn.CONCAT("Trading Share Price as of "&amp;Presentation!$D$3," :")</f>
        <v>Trading Share Price as of 2024/3/24 :</v>
      </c>
      <c r="C27" s="24">
        <v>178.87</v>
      </c>
      <c r="D27" s="24"/>
      <c r="E27" s="24"/>
      <c r="I27" s="6"/>
      <c r="J27" s="6"/>
      <c r="K27" s="6"/>
      <c r="L27" s="6"/>
      <c r="M27" s="6"/>
      <c r="N27" s="6"/>
      <c r="O27" s="6"/>
      <c r="P27" s="6"/>
    </row>
    <row r="28" spans="1:16" outlineLevel="1">
      <c r="B28" s="26"/>
      <c r="C28" s="24"/>
      <c r="D28" s="24"/>
      <c r="E28" s="24"/>
      <c r="I28" s="6"/>
      <c r="J28" s="6"/>
      <c r="K28" s="6"/>
      <c r="L28" s="6"/>
      <c r="M28" s="6"/>
      <c r="N28" s="6"/>
      <c r="O28" s="6"/>
      <c r="P28" s="6"/>
    </row>
    <row r="29" spans="1:16" ht="26">
      <c r="B29" s="49" t="s">
        <v>246</v>
      </c>
    </row>
    <row r="30" spans="1:16" outlineLevel="1">
      <c r="B30" s="113" t="s">
        <v>205</v>
      </c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</row>
    <row r="31" spans="1:16" outlineLevel="1">
      <c r="B31" s="109" t="s">
        <v>206</v>
      </c>
      <c r="C31" s="110"/>
      <c r="D31" s="107">
        <f>D$8</f>
        <v>42735</v>
      </c>
      <c r="E31" s="107">
        <f>E$8</f>
        <v>43100</v>
      </c>
      <c r="F31" s="107">
        <f t="shared" ref="F31:P31" si="6">F$8</f>
        <v>43465</v>
      </c>
      <c r="G31" s="107">
        <f t="shared" si="6"/>
        <v>43830</v>
      </c>
      <c r="H31" s="107">
        <f t="shared" si="6"/>
        <v>44196</v>
      </c>
      <c r="I31" s="107">
        <f t="shared" si="6"/>
        <v>44561</v>
      </c>
      <c r="J31" s="107">
        <f t="shared" si="6"/>
        <v>44926</v>
      </c>
      <c r="K31" s="107">
        <f t="shared" si="6"/>
        <v>45291</v>
      </c>
      <c r="L31" s="108">
        <f t="shared" si="6"/>
        <v>45657</v>
      </c>
      <c r="M31" s="108">
        <f t="shared" si="6"/>
        <v>46022</v>
      </c>
      <c r="N31" s="108">
        <f t="shared" si="6"/>
        <v>46387</v>
      </c>
      <c r="O31" s="108">
        <f t="shared" si="6"/>
        <v>46752</v>
      </c>
      <c r="P31" s="108">
        <f t="shared" si="6"/>
        <v>47118</v>
      </c>
    </row>
    <row r="32" spans="1:16" outlineLevel="1">
      <c r="B32" s="6" t="s">
        <v>12</v>
      </c>
      <c r="C32" s="29"/>
      <c r="D32" s="73"/>
      <c r="E32" s="50">
        <f>INDEX('PL(AMZN)'!$C$4:$K$100,MATCH($B32,'PL(AMZN)'!$B$4:$B$100,0),MATCH(E$31,'PL(AMZN)'!$C$3:$K$3,0))</f>
        <v>177866</v>
      </c>
      <c r="F32" s="50">
        <f>INDEX('PL(AMZN)'!$C$4:$K$100,MATCH($B32,'PL(AMZN)'!$B$4:$B$100,0),MATCH(F$31,'PL(AMZN)'!$C$3:$K$3,0))</f>
        <v>232887</v>
      </c>
      <c r="G32" s="50">
        <f>INDEX('PL(AMZN)'!$C$4:$K$100,MATCH($B32,'PL(AMZN)'!$B$4:$B$100,0),MATCH(G$31,'PL(AMZN)'!$C$3:$K$3,0))</f>
        <v>280222</v>
      </c>
      <c r="H32" s="50">
        <f>INDEX('PL(AMZN)'!$C$4:$K$100,MATCH($B32,'PL(AMZN)'!$B$4:$B$100,0),MATCH(H$31,'PL(AMZN)'!$C$3:$K$3,0))</f>
        <v>386044</v>
      </c>
      <c r="I32" s="50">
        <f>INDEX('PL(AMZN)'!$C$4:$K$100,MATCH($B32,'PL(AMZN)'!$B$4:$B$100,0),MATCH(I$31,'PL(AMZN)'!$C$3:$K$3,0))</f>
        <v>469822</v>
      </c>
      <c r="J32" s="50">
        <f>INDEX('PL(AMZN)'!$C$4:$K$100,MATCH($B32,'PL(AMZN)'!$B$4:$B$100,0),MATCH(J$31,'PL(AMZN)'!$C$3:$K$3,0))</f>
        <v>513983</v>
      </c>
      <c r="K32" s="50">
        <f>INDEX('PL(AMZN)'!$C$4:$K$100,MATCH($B32,'PL(AMZN)'!$B$4:$B$100,0),MATCH(K$31,'PL(AMZN)'!$C$3:$K$3,0))</f>
        <v>574785</v>
      </c>
      <c r="L32" s="90">
        <f>K32+(K32*L56)</f>
        <v>657101.301615039</v>
      </c>
      <c r="M32" s="90">
        <f>L32+(L32*M56)</f>
        <v>747090.93399010925</v>
      </c>
      <c r="N32" s="90">
        <f>M32+(M32*N56)</f>
        <v>844930.2353235092</v>
      </c>
      <c r="O32" s="90">
        <f>N32+(N32*O56)</f>
        <v>950743.58289949014</v>
      </c>
      <c r="P32" s="90">
        <f>O32+(O32*P56)</f>
        <v>1064601.3682227868</v>
      </c>
    </row>
    <row r="33" spans="2:19" outlineLevel="1">
      <c r="B33" s="25" t="s">
        <v>207</v>
      </c>
      <c r="C33" s="30"/>
      <c r="D33" s="74"/>
      <c r="E33" s="51">
        <f>INDEX('PL(AMZN)'!$C$4:$K$100,MATCH($B33,'PL(AMZN)'!$B$4:$B$100,0),MATCH(E$31,'PL(AMZN)'!$C$3:$K$3,0))</f>
        <v>111934</v>
      </c>
      <c r="F33" s="51">
        <f>INDEX('PL(AMZN)'!$C$4:$K$100,MATCH($B33,'PL(AMZN)'!$B$4:$B$100,0),MATCH(F$31,'PL(AMZN)'!$C$3:$K$3,0))</f>
        <v>139156</v>
      </c>
      <c r="G33" s="51">
        <f>INDEX('PL(AMZN)'!$C$4:$K$100,MATCH($B33,'PL(AMZN)'!$B$4:$B$100,0),MATCH(G$31,'PL(AMZN)'!$C$3:$K$3,0))</f>
        <v>165536</v>
      </c>
      <c r="H33" s="51">
        <f>INDEX('PL(AMZN)'!$C$4:$K$100,MATCH($B33,'PL(AMZN)'!$B$4:$B$100,0),MATCH(H$31,'PL(AMZN)'!$C$3:$K$3,0))</f>
        <v>233307</v>
      </c>
      <c r="I33" s="51">
        <f>INDEX('PL(AMZN)'!$C$4:$K$100,MATCH($B33,'PL(AMZN)'!$B$4:$B$100,0),MATCH(I$31,'PL(AMZN)'!$C$3:$K$3,0))</f>
        <v>272344</v>
      </c>
      <c r="J33" s="51">
        <f>INDEX('PL(AMZN)'!$C$4:$K$100,MATCH($B33,'PL(AMZN)'!$B$4:$B$100,0),MATCH(J$31,'PL(AMZN)'!$C$3:$K$3,0))</f>
        <v>288831</v>
      </c>
      <c r="K33" s="51">
        <f>INDEX('PL(AMZN)'!$C$4:$K$100,MATCH($B33,'PL(AMZN)'!$B$4:$B$100,0),MATCH(K$31,'PL(AMZN)'!$C$3:$K$3,0))</f>
        <v>304739</v>
      </c>
      <c r="L33" s="91">
        <f>L32*L57</f>
        <v>354634.52859537239</v>
      </c>
      <c r="M33" s="91">
        <f>M32*M57</f>
        <v>391994.10007930436</v>
      </c>
      <c r="N33" s="91">
        <f>N32*N57</f>
        <v>431006.96603089076</v>
      </c>
      <c r="O33" s="91">
        <f>O32*O57</f>
        <v>471502.73321082455</v>
      </c>
      <c r="P33" s="91">
        <f>P32*P57</f>
        <v>513292.83919043309</v>
      </c>
    </row>
    <row r="34" spans="2:19" outlineLevel="1">
      <c r="B34" s="26" t="s">
        <v>5</v>
      </c>
      <c r="C34" s="31"/>
      <c r="D34" s="76"/>
      <c r="E34" s="52">
        <f t="shared" ref="E34:H34" si="7">E32-E33</f>
        <v>65932</v>
      </c>
      <c r="F34" s="52">
        <f t="shared" si="7"/>
        <v>93731</v>
      </c>
      <c r="G34" s="52">
        <f t="shared" si="7"/>
        <v>114686</v>
      </c>
      <c r="H34" s="52">
        <f t="shared" si="7"/>
        <v>152737</v>
      </c>
      <c r="I34" s="52">
        <f t="shared" ref="I34:P34" si="8">I32-I33</f>
        <v>197478</v>
      </c>
      <c r="J34" s="52">
        <f t="shared" si="8"/>
        <v>225152</v>
      </c>
      <c r="K34" s="52">
        <f t="shared" si="8"/>
        <v>270046</v>
      </c>
      <c r="L34" s="92">
        <f t="shared" si="8"/>
        <v>302466.77301966661</v>
      </c>
      <c r="M34" s="92">
        <f t="shared" si="8"/>
        <v>355096.83391080488</v>
      </c>
      <c r="N34" s="92">
        <f t="shared" si="8"/>
        <v>413923.26929261844</v>
      </c>
      <c r="O34" s="92">
        <f t="shared" si="8"/>
        <v>479240.84968866559</v>
      </c>
      <c r="P34" s="92">
        <f t="shared" si="8"/>
        <v>551308.52903235378</v>
      </c>
    </row>
    <row r="35" spans="2:19" outlineLevel="1">
      <c r="B35" s="6" t="s">
        <v>181</v>
      </c>
      <c r="C35" s="29"/>
      <c r="D35" s="73"/>
      <c r="E35" s="50"/>
      <c r="F35" s="50"/>
      <c r="G35" s="50"/>
      <c r="H35" s="50"/>
      <c r="I35" s="50"/>
      <c r="J35" s="50"/>
      <c r="K35" s="50"/>
      <c r="L35" s="90"/>
      <c r="M35" s="90"/>
      <c r="N35" s="90"/>
      <c r="O35" s="90"/>
      <c r="P35" s="90"/>
    </row>
    <row r="36" spans="2:19" outlineLevel="1">
      <c r="B36" s="53" t="s">
        <v>14</v>
      </c>
      <c r="C36" s="29"/>
      <c r="D36" s="73"/>
      <c r="E36" s="50">
        <f>INDEX('PL(AMZN)'!$C$4:$K$100,MATCH($B36,'PL(AMZN)'!$B$4:$B$100,0),MATCH(E$31,'PL(AMZN)'!$C$3:$K$3,0))</f>
        <v>22620</v>
      </c>
      <c r="F36" s="50">
        <f>INDEX('PL(AMZN)'!$C$4:$K$100,MATCH($B36,'PL(AMZN)'!$B$4:$B$100,0),MATCH(F$31,'PL(AMZN)'!$C$3:$K$3,0))</f>
        <v>28837</v>
      </c>
      <c r="G36" s="50">
        <f>INDEX('PL(AMZN)'!$C$4:$K$100,MATCH($B36,'PL(AMZN)'!$B$4:$B$100,0),MATCH(G$31,'PL(AMZN)'!$C$3:$K$3,0))</f>
        <v>35931</v>
      </c>
      <c r="H36" s="50">
        <f>INDEX('PL(AMZN)'!$C$4:$K$100,MATCH($B36,'PL(AMZN)'!$B$4:$B$100,0),MATCH(H$31,'PL(AMZN)'!$C$3:$K$3,0))</f>
        <v>42740</v>
      </c>
      <c r="I36" s="50">
        <f>INDEX('PL(AMZN)'!$C$4:$K$100,MATCH($B36,'PL(AMZN)'!$B$4:$B$100,0),MATCH(I$31,'PL(AMZN)'!$C$3:$K$3,0))</f>
        <v>56052</v>
      </c>
      <c r="J36" s="50">
        <f>INDEX('PL(AMZN)'!$C$4:$K$100,MATCH($B36,'PL(AMZN)'!$B$4:$B$100,0),MATCH(J$31,'PL(AMZN)'!$C$3:$K$3,0))</f>
        <v>73213</v>
      </c>
      <c r="K36" s="50">
        <f>INDEX('PL(AMZN)'!$C$4:$K$100,MATCH($B36,'PL(AMZN)'!$B$4:$B$100,0),MATCH(K$31,'PL(AMZN)'!$C$3:$K$3,0))</f>
        <v>85622</v>
      </c>
      <c r="L36" s="90">
        <f t="shared" ref="L36:P38" si="9">L$32*L58</f>
        <v>94259.022598534561</v>
      </c>
      <c r="M36" s="90">
        <f t="shared" si="9"/>
        <v>110560.40843473394</v>
      </c>
      <c r="N36" s="90">
        <f t="shared" si="9"/>
        <v>128997.88298616708</v>
      </c>
      <c r="O36" s="90">
        <f t="shared" si="9"/>
        <v>149747.88526517604</v>
      </c>
      <c r="P36" s="90">
        <f t="shared" si="9"/>
        <v>172989.55389812161</v>
      </c>
    </row>
    <row r="37" spans="2:19" outlineLevel="1">
      <c r="B37" s="53" t="s">
        <v>250</v>
      </c>
      <c r="C37" s="29"/>
      <c r="D37" s="73"/>
      <c r="E37" s="50">
        <f>INDEX('PL(AMZN)'!$C$4:$K$100,MATCH($B37,'PL(AMZN)'!$B$4:$B$100,0),MATCH(E$31,'PL(AMZN)'!$C$3:$K$3,0))</f>
        <v>38992</v>
      </c>
      <c r="F37" s="50">
        <f>INDEX('PL(AMZN)'!$C$4:$K$100,MATCH($B37,'PL(AMZN)'!$B$4:$B$100,0),MATCH(F$31,'PL(AMZN)'!$C$3:$K$3,0))</f>
        <v>52177</v>
      </c>
      <c r="G37" s="50">
        <f>INDEX('PL(AMZN)'!$C$4:$K$100,MATCH($B37,'PL(AMZN)'!$B$4:$B$100,0),MATCH(G$31,'PL(AMZN)'!$C$3:$K$3,0))</f>
        <v>64313</v>
      </c>
      <c r="H37" s="50">
        <f>INDEX('PL(AMZN)'!$C$4:$K$100,MATCH($B37,'PL(AMZN)'!$B$4:$B$100,0),MATCH(H$31,'PL(AMZN)'!$C$3:$K$3,0))</f>
        <v>87193</v>
      </c>
      <c r="I37" s="50">
        <f>INDEX('PL(AMZN)'!$C$4:$K$100,MATCH($B37,'PL(AMZN)'!$B$4:$B$100,0),MATCH(I$31,'PL(AMZN)'!$C$3:$K$3,0))</f>
        <v>116485</v>
      </c>
      <c r="J37" s="50">
        <f>INDEX('PL(AMZN)'!$C$4:$K$100,MATCH($B37,'PL(AMZN)'!$B$4:$B$100,0),MATCH(J$31,'PL(AMZN)'!$C$3:$K$3,0))</f>
        <v>138428</v>
      </c>
      <c r="K37" s="50">
        <f>INDEX('PL(AMZN)'!$C$4:$K$100,MATCH($B37,'PL(AMZN)'!$B$4:$B$100,0),MATCH(K$31,'PL(AMZN)'!$C$3:$K$3,0))</f>
        <v>146805</v>
      </c>
      <c r="L37" s="90">
        <f t="shared" si="9"/>
        <v>171721.73646501254</v>
      </c>
      <c r="M37" s="90">
        <f t="shared" si="9"/>
        <v>200537.3630443032</v>
      </c>
      <c r="N37" s="90">
        <f t="shared" si="9"/>
        <v>232954.75239523486</v>
      </c>
      <c r="O37" s="90">
        <f t="shared" si="9"/>
        <v>269242.12886829826</v>
      </c>
      <c r="P37" s="90">
        <f t="shared" si="9"/>
        <v>309667.42491780315</v>
      </c>
    </row>
    <row r="38" spans="2:19" outlineLevel="1">
      <c r="B38" s="53" t="s">
        <v>6</v>
      </c>
      <c r="C38" s="29"/>
      <c r="D38" s="73"/>
      <c r="E38" s="50">
        <f t="shared" ref="E38:K38" si="10">E34-E39-E42</f>
        <v>0</v>
      </c>
      <c r="F38" s="50">
        <f t="shared" si="10"/>
        <v>0</v>
      </c>
      <c r="G38" s="50">
        <f t="shared" si="10"/>
        <v>-300</v>
      </c>
      <c r="H38" s="50">
        <f t="shared" si="10"/>
        <v>-20</v>
      </c>
      <c r="I38" s="50">
        <f t="shared" si="10"/>
        <v>0</v>
      </c>
      <c r="J38" s="50">
        <f t="shared" si="10"/>
        <v>0</v>
      </c>
      <c r="K38" s="50">
        <f t="shared" si="10"/>
        <v>0</v>
      </c>
      <c r="L38" s="90">
        <f t="shared" si="9"/>
        <v>-26.752450343622066</v>
      </c>
      <c r="M38" s="90">
        <f t="shared" si="9"/>
        <v>-30.416182504306882</v>
      </c>
      <c r="N38" s="90">
        <f t="shared" si="9"/>
        <v>-34.399496864122106</v>
      </c>
      <c r="O38" s="90">
        <f t="shared" si="9"/>
        <v>-38.7074571736837</v>
      </c>
      <c r="P38" s="90">
        <f t="shared" si="9"/>
        <v>-43.34292927001011</v>
      </c>
    </row>
    <row r="39" spans="2:19" outlineLevel="1">
      <c r="B39" s="25" t="s">
        <v>295</v>
      </c>
      <c r="C39" s="30"/>
      <c r="D39" s="74"/>
      <c r="E39" s="51">
        <f>INDEX('PL(AMZN)'!$C$4:$K$100,MATCH($B39,'PL(AMZN)'!$B$4:$B$100,0),MATCH(E$31,'PL(AMZN)'!$C$3:$K$3,0))</f>
        <v>61826</v>
      </c>
      <c r="F39" s="51">
        <f>INDEX('PL(AMZN)'!$C$4:$K$100,MATCH($B39,'PL(AMZN)'!$B$4:$B$100,0),MATCH(F$31,'PL(AMZN)'!$C$3:$K$3,0))</f>
        <v>81310</v>
      </c>
      <c r="G39" s="51">
        <f>INDEX('PL(AMZN)'!$C$4:$K$100,MATCH($B39,'PL(AMZN)'!$B$4:$B$100,0),MATCH(G$31,'PL(AMZN)'!$C$3:$K$3,0))</f>
        <v>100445</v>
      </c>
      <c r="H39" s="51">
        <f>INDEX('PL(AMZN)'!$C$4:$K$100,MATCH($B39,'PL(AMZN)'!$B$4:$B$100,0),MATCH(H$31,'PL(AMZN)'!$C$3:$K$3,0))</f>
        <v>129858</v>
      </c>
      <c r="I39" s="51">
        <f>INDEX('PL(AMZN)'!$C$4:$K$100,MATCH($B39,'PL(AMZN)'!$B$4:$B$100,0),MATCH(I$31,'PL(AMZN)'!$C$3:$K$3,0))</f>
        <v>172599</v>
      </c>
      <c r="J39" s="51">
        <f>INDEX('PL(AMZN)'!$C$4:$K$100,MATCH($B39,'PL(AMZN)'!$B$4:$B$100,0),MATCH(J$31,'PL(AMZN)'!$C$3:$K$3,0))</f>
        <v>212904</v>
      </c>
      <c r="K39" s="51">
        <f>INDEX('PL(AMZN)'!$C$4:$K$100,MATCH($B39,'PL(AMZN)'!$B$4:$B$100,0),MATCH(K$31,'PL(AMZN)'!$C$3:$K$3,0))</f>
        <v>233194</v>
      </c>
      <c r="L39" s="91">
        <f t="shared" ref="L39:P39" si="11">SUM(L36:L38)</f>
        <v>265954.0066132035</v>
      </c>
      <c r="M39" s="91">
        <f t="shared" si="11"/>
        <v>311067.3552965328</v>
      </c>
      <c r="N39" s="91">
        <f t="shared" si="11"/>
        <v>361918.2358845378</v>
      </c>
      <c r="O39" s="91">
        <f t="shared" si="11"/>
        <v>418951.30667630065</v>
      </c>
      <c r="P39" s="91">
        <f t="shared" si="11"/>
        <v>482613.63588665472</v>
      </c>
    </row>
    <row r="40" spans="2:19" outlineLevel="1">
      <c r="B40" s="26" t="s">
        <v>20</v>
      </c>
      <c r="C40" s="31"/>
      <c r="D40" s="76"/>
      <c r="E40" s="52">
        <f>INDEX('PL(AMZN)'!$C$4:$K$100,MATCH($B40,'PL(AMZN)'!$B$4:$B$100,0),MATCH(E$31,'PL(AMZN)'!$C$3:$K$3,0))</f>
        <v>15584</v>
      </c>
      <c r="F40" s="52">
        <f>INDEX('PL(AMZN)'!$C$4:$K$100,MATCH($B40,'PL(AMZN)'!$B$4:$B$100,0),MATCH(F$31,'PL(AMZN)'!$C$3:$K$3,0))</f>
        <v>27762</v>
      </c>
      <c r="G40" s="52">
        <f>INDEX('PL(AMZN)'!$C$4:$K$100,MATCH($B40,'PL(AMZN)'!$B$4:$B$100,0),MATCH(G$31,'PL(AMZN)'!$C$3:$K$3,0))</f>
        <v>36330</v>
      </c>
      <c r="H40" s="52">
        <f>INDEX('PL(AMZN)'!$C$4:$K$100,MATCH($B40,'PL(AMZN)'!$B$4:$B$100,0),MATCH(H$31,'PL(AMZN)'!$C$3:$K$3,0))</f>
        <v>48079</v>
      </c>
      <c r="I40" s="52">
        <f>INDEX('PL(AMZN)'!$C$4:$K$100,MATCH($B40,'PL(AMZN)'!$B$4:$B$100,0),MATCH(I$31,'PL(AMZN)'!$C$3:$K$3,0))</f>
        <v>59312</v>
      </c>
      <c r="J40" s="52">
        <f>INDEX('PL(AMZN)'!$C$4:$K$100,MATCH($B40,'PL(AMZN)'!$B$4:$B$100,0),MATCH(J$31,'PL(AMZN)'!$C$3:$K$3,0))</f>
        <v>54169</v>
      </c>
      <c r="K40" s="52">
        <f>INDEX('PL(AMZN)'!$C$4:$K$100,MATCH($B40,'PL(AMZN)'!$B$4:$B$100,0),MATCH(K$31,'PL(AMZN)'!$C$3:$K$3,0))</f>
        <v>85515</v>
      </c>
      <c r="L40" s="92">
        <f>L34-L39+L41</f>
        <v>88625.01170633483</v>
      </c>
      <c r="M40" s="92">
        <f>M34-M39+M41</f>
        <v>103278.46490864316</v>
      </c>
      <c r="N40" s="92">
        <f>N34-N39+N41</f>
        <v>119013.28856788036</v>
      </c>
      <c r="O40" s="92">
        <f>O34-O39+O41</f>
        <v>135689.45880550574</v>
      </c>
      <c r="P40" s="92">
        <f>P34-P39+P41</f>
        <v>153124.44382692265</v>
      </c>
    </row>
    <row r="41" spans="2:19" outlineLevel="1">
      <c r="B41" s="25" t="s">
        <v>208</v>
      </c>
      <c r="C41" s="30"/>
      <c r="D41" s="74"/>
      <c r="E41" s="51">
        <f>INDEX('CF(AMZN)'!$C$4:$K$100,MATCH($B41,'CF(AMZN)'!$B$4:$B$100,0),MATCH(E$31,'CF(AMZN)'!$C$3:$K$3,0))</f>
        <v>11478</v>
      </c>
      <c r="F41" s="51">
        <f>INDEX('CF(AMZN)'!$C$4:$K$100,MATCH($B41,'CF(AMZN)'!$B$4:$B$100,0),MATCH(F$31,'CF(AMZN)'!$C$3:$K$3,0))</f>
        <v>15341</v>
      </c>
      <c r="G41" s="51">
        <f>INDEX('CF(AMZN)'!$C$4:$K$100,MATCH($B41,'CF(AMZN)'!$B$4:$B$100,0),MATCH(G$31,'CF(AMZN)'!$C$3:$K$3,0))</f>
        <v>21789</v>
      </c>
      <c r="H41" s="51">
        <f>INDEX('CF(AMZN)'!$C$4:$K$100,MATCH($B41,'CF(AMZN)'!$B$4:$B$100,0),MATCH(H$31,'CF(AMZN)'!$C$3:$K$3,0))</f>
        <v>25180</v>
      </c>
      <c r="I41" s="51">
        <f>INDEX('CF(AMZN)'!$C$4:$K$100,MATCH($B41,'CF(AMZN)'!$B$4:$B$100,0),MATCH(I$31,'CF(AMZN)'!$C$3:$K$3,0))</f>
        <v>34433</v>
      </c>
      <c r="J41" s="51">
        <f>INDEX('CF(AMZN)'!$C$4:$K$100,MATCH($B41,'CF(AMZN)'!$B$4:$B$100,0),MATCH(J$31,'CF(AMZN)'!$C$3:$K$3,0))</f>
        <v>41921</v>
      </c>
      <c r="K41" s="51">
        <f>INDEX('CF(AMZN)'!$C$4:$K$100,MATCH($B41,'CF(AMZN)'!$B$4:$B$100,0),MATCH(K$31,'CF(AMZN)'!$C$3:$K$3,0))</f>
        <v>48663</v>
      </c>
      <c r="L41" s="91">
        <f>L67</f>
        <v>52112.245299871727</v>
      </c>
      <c r="M41" s="91">
        <f t="shared" ref="M41:P41" si="12">M67</f>
        <v>59248.986294371083</v>
      </c>
      <c r="N41" s="91">
        <f t="shared" si="12"/>
        <v>67008.255159799723</v>
      </c>
      <c r="O41" s="91">
        <f t="shared" si="12"/>
        <v>75399.915793140797</v>
      </c>
      <c r="P41" s="91">
        <f t="shared" si="12"/>
        <v>84429.550681223598</v>
      </c>
    </row>
    <row r="42" spans="2:19" outlineLevel="1">
      <c r="B42" s="26" t="s">
        <v>209</v>
      </c>
      <c r="C42" s="31"/>
      <c r="D42" s="76"/>
      <c r="E42" s="52">
        <f t="shared" ref="E42:P42" si="13">E40-SUM(E41:E41)</f>
        <v>4106</v>
      </c>
      <c r="F42" s="52">
        <f t="shared" si="13"/>
        <v>12421</v>
      </c>
      <c r="G42" s="52">
        <f t="shared" si="13"/>
        <v>14541</v>
      </c>
      <c r="H42" s="52">
        <f t="shared" si="13"/>
        <v>22899</v>
      </c>
      <c r="I42" s="52">
        <f t="shared" si="13"/>
        <v>24879</v>
      </c>
      <c r="J42" s="52">
        <f t="shared" si="13"/>
        <v>12248</v>
      </c>
      <c r="K42" s="52">
        <f t="shared" si="13"/>
        <v>36852</v>
      </c>
      <c r="L42" s="92">
        <f t="shared" si="13"/>
        <v>36512.766406463103</v>
      </c>
      <c r="M42" s="92">
        <f t="shared" si="13"/>
        <v>44029.478614272077</v>
      </c>
      <c r="N42" s="92">
        <f t="shared" si="13"/>
        <v>52005.033408080635</v>
      </c>
      <c r="O42" s="92">
        <f t="shared" si="13"/>
        <v>60289.543012364942</v>
      </c>
      <c r="P42" s="92">
        <f t="shared" si="13"/>
        <v>68694.893145699054</v>
      </c>
      <c r="Q42" s="87"/>
      <c r="R42" s="87"/>
      <c r="S42" s="87"/>
    </row>
    <row r="43" spans="2:19" outlineLevel="1">
      <c r="B43" s="25" t="s">
        <v>252</v>
      </c>
      <c r="C43" s="30"/>
      <c r="D43" s="74"/>
      <c r="E43" s="51">
        <f>INDEX('PL(AMZN)'!$C$4:$K$100,MATCH($B43,'PL(AMZN)'!$B$4:$B$100,0),MATCH(E$31,'PL(AMZN)'!$C$3:$K$3,0))</f>
        <v>769</v>
      </c>
      <c r="F43" s="51">
        <f>INDEX('PL(AMZN)'!$C$4:$K$100,MATCH($B43,'PL(AMZN)'!$B$4:$B$100,0),MATCH(F$31,'PL(AMZN)'!$C$3:$K$3,0))</f>
        <v>1197</v>
      </c>
      <c r="G43" s="51">
        <f>INDEX('PL(AMZN)'!$C$4:$K$100,MATCH($B43,'PL(AMZN)'!$B$4:$B$100,0),MATCH(G$31,'PL(AMZN)'!$C$3:$K$3,0))</f>
        <v>2374</v>
      </c>
      <c r="H43" s="51">
        <f>INDEX('PL(AMZN)'!$C$4:$K$100,MATCH($B43,'PL(AMZN)'!$B$4:$B$100,0),MATCH(H$31,'PL(AMZN)'!$C$3:$K$3,0))</f>
        <v>2863</v>
      </c>
      <c r="I43" s="51">
        <f>INDEX('PL(AMZN)'!$C$4:$K$100,MATCH($B43,'PL(AMZN)'!$B$4:$B$100,0),MATCH(I$31,'PL(AMZN)'!$C$3:$K$3,0))</f>
        <v>4791</v>
      </c>
      <c r="J43" s="51">
        <f>INDEX('PL(AMZN)'!$C$4:$K$100,MATCH($B43,'PL(AMZN)'!$B$4:$B$100,0),MATCH(J$31,'PL(AMZN)'!$C$3:$K$3,0))</f>
        <v>-3217</v>
      </c>
      <c r="K43" s="51">
        <f>INDEX('PL(AMZN)'!$C$4:$K$100,MATCH($B43,'PL(AMZN)'!$B$4:$B$100,0),MATCH(K$31,'PL(AMZN)'!$C$3:$K$3,0))</f>
        <v>7120</v>
      </c>
      <c r="L43" s="91">
        <f>L42*L61</f>
        <v>6671.2500743750916</v>
      </c>
      <c r="M43" s="91">
        <f>M42*M61</f>
        <v>8044.6290815194388</v>
      </c>
      <c r="N43" s="91">
        <f>N42*N61</f>
        <v>9501.8432492731008</v>
      </c>
      <c r="O43" s="91">
        <f>O42*O61</f>
        <v>11015.506571807869</v>
      </c>
      <c r="P43" s="91">
        <f>P42*P61</f>
        <v>12551.24867575944</v>
      </c>
    </row>
    <row r="44" spans="2:19" outlineLevel="1">
      <c r="B44" s="26" t="s">
        <v>210</v>
      </c>
      <c r="C44" s="31"/>
      <c r="D44" s="76"/>
      <c r="E44" s="52">
        <f t="shared" ref="E44:H44" si="14">E42-E43</f>
        <v>3337</v>
      </c>
      <c r="F44" s="52">
        <f t="shared" si="14"/>
        <v>11224</v>
      </c>
      <c r="G44" s="52">
        <f t="shared" si="14"/>
        <v>12167</v>
      </c>
      <c r="H44" s="52">
        <f t="shared" si="14"/>
        <v>20036</v>
      </c>
      <c r="I44" s="52">
        <f t="shared" ref="I44:P44" si="15">I42-I43</f>
        <v>20088</v>
      </c>
      <c r="J44" s="52">
        <f t="shared" si="15"/>
        <v>15465</v>
      </c>
      <c r="K44" s="52">
        <f t="shared" si="15"/>
        <v>29732</v>
      </c>
      <c r="L44" s="92">
        <f t="shared" si="15"/>
        <v>29841.516332088009</v>
      </c>
      <c r="M44" s="92">
        <f t="shared" si="15"/>
        <v>35984.84953275264</v>
      </c>
      <c r="N44" s="92">
        <f t="shared" si="15"/>
        <v>42503.190158807534</v>
      </c>
      <c r="O44" s="92">
        <f t="shared" si="15"/>
        <v>49274.036440557073</v>
      </c>
      <c r="P44" s="92">
        <f t="shared" si="15"/>
        <v>56143.644469939616</v>
      </c>
    </row>
    <row r="45" spans="2:19" outlineLevel="1">
      <c r="B45" s="6" t="s">
        <v>298</v>
      </c>
      <c r="C45" s="29"/>
      <c r="D45" s="73"/>
      <c r="E45" s="50">
        <f t="shared" ref="E45:P45" si="16">E41</f>
        <v>11478</v>
      </c>
      <c r="F45" s="50">
        <f t="shared" si="16"/>
        <v>15341</v>
      </c>
      <c r="G45" s="50">
        <f t="shared" si="16"/>
        <v>21789</v>
      </c>
      <c r="H45" s="50">
        <f t="shared" si="16"/>
        <v>25180</v>
      </c>
      <c r="I45" s="50">
        <f t="shared" si="16"/>
        <v>34433</v>
      </c>
      <c r="J45" s="50">
        <f t="shared" si="16"/>
        <v>41921</v>
      </c>
      <c r="K45" s="50">
        <f t="shared" si="16"/>
        <v>48663</v>
      </c>
      <c r="L45" s="90">
        <f t="shared" si="16"/>
        <v>52112.245299871727</v>
      </c>
      <c r="M45" s="90">
        <f t="shared" si="16"/>
        <v>59248.986294371083</v>
      </c>
      <c r="N45" s="90">
        <f t="shared" si="16"/>
        <v>67008.255159799723</v>
      </c>
      <c r="O45" s="90">
        <f t="shared" si="16"/>
        <v>75399.915793140797</v>
      </c>
      <c r="P45" s="90">
        <f t="shared" si="16"/>
        <v>84429.550681223598</v>
      </c>
    </row>
    <row r="46" spans="2:19" outlineLevel="1">
      <c r="B46" s="6" t="s">
        <v>299</v>
      </c>
      <c r="C46" s="29"/>
      <c r="D46" s="73"/>
      <c r="E46" s="50">
        <f>-E68</f>
        <v>10058</v>
      </c>
      <c r="F46" s="50">
        <f t="shared" ref="F46:P46" si="17">-F68</f>
        <v>11323</v>
      </c>
      <c r="G46" s="50">
        <f t="shared" si="17"/>
        <v>12689</v>
      </c>
      <c r="H46" s="50">
        <f t="shared" si="17"/>
        <v>35044</v>
      </c>
      <c r="I46" s="50">
        <f t="shared" si="17"/>
        <v>55396</v>
      </c>
      <c r="J46" s="50">
        <f t="shared" si="17"/>
        <v>58321</v>
      </c>
      <c r="K46" s="50">
        <f t="shared" si="17"/>
        <v>48133</v>
      </c>
      <c r="L46" s="90">
        <f t="shared" si="17"/>
        <v>63811.233562043228</v>
      </c>
      <c r="M46" s="90">
        <f t="shared" si="17"/>
        <v>72550.144039825478</v>
      </c>
      <c r="N46" s="90">
        <f t="shared" si="17"/>
        <v>82051.337377272706</v>
      </c>
      <c r="O46" s="90">
        <f t="shared" si="17"/>
        <v>92326.891876338763</v>
      </c>
      <c r="P46" s="90">
        <f t="shared" si="17"/>
        <v>103383.64326956349</v>
      </c>
    </row>
    <row r="47" spans="2:19" outlineLevel="1">
      <c r="B47" s="6" t="s">
        <v>300</v>
      </c>
      <c r="C47" s="29"/>
      <c r="D47" s="73"/>
      <c r="E47" s="69">
        <f>E48-D48</f>
        <v>-4656</v>
      </c>
      <c r="F47" s="50">
        <f t="shared" ref="F47" si="18">F48-E48</f>
        <v>-5868</v>
      </c>
      <c r="G47" s="50">
        <f t="shared" ref="G47" si="19">G48-F48</f>
        <v>-11959</v>
      </c>
      <c r="H47" s="50">
        <f t="shared" ref="H47" si="20">H48-G48</f>
        <v>-31549</v>
      </c>
      <c r="I47" s="50">
        <f t="shared" ref="I47" si="21">I48-H48</f>
        <v>1313</v>
      </c>
      <c r="J47" s="50">
        <f t="shared" ref="J47" si="22">J48-I48</f>
        <v>-1893</v>
      </c>
      <c r="K47" s="50">
        <f t="shared" ref="K47" si="23">K48-J48</f>
        <v>-718</v>
      </c>
      <c r="L47" s="90">
        <f t="shared" ref="L47" si="24">L48-K48</f>
        <v>-23374.238202667912</v>
      </c>
      <c r="M47" s="90">
        <f t="shared" ref="M47" si="25">M48-L48</f>
        <v>-15355.231128397558</v>
      </c>
      <c r="N47" s="90">
        <f t="shared" ref="N47" si="26">N48-M48</f>
        <v>-16879.124898063237</v>
      </c>
      <c r="O47" s="90">
        <f t="shared" ref="O47" si="27">O48-N48</f>
        <v>-18449.753174539132</v>
      </c>
      <c r="P47" s="90">
        <f t="shared" ref="P47" si="28">P48-O48</f>
        <v>-20057.416627913655</v>
      </c>
    </row>
    <row r="48" spans="2:19" outlineLevel="1">
      <c r="B48" s="53" t="s">
        <v>211</v>
      </c>
      <c r="C48" s="32"/>
      <c r="D48" s="85">
        <f t="shared" ref="D48:H48" si="29">D49-D50</f>
        <v>-24016</v>
      </c>
      <c r="E48" s="69">
        <f t="shared" si="29"/>
        <v>-28672</v>
      </c>
      <c r="F48" s="69">
        <f t="shared" si="29"/>
        <v>-34540</v>
      </c>
      <c r="G48" s="69">
        <f t="shared" si="29"/>
        <v>-46499</v>
      </c>
      <c r="H48" s="69">
        <f t="shared" si="29"/>
        <v>-78048</v>
      </c>
      <c r="I48" s="50">
        <f t="shared" ref="I48:P48" si="30">I49-I50</f>
        <v>-76735</v>
      </c>
      <c r="J48" s="50">
        <f t="shared" si="30"/>
        <v>-78628</v>
      </c>
      <c r="K48" s="50">
        <f t="shared" si="30"/>
        <v>-79346</v>
      </c>
      <c r="L48" s="90">
        <f t="shared" si="30"/>
        <v>-102720.23820266791</v>
      </c>
      <c r="M48" s="90">
        <f t="shared" si="30"/>
        <v>-118075.46933106547</v>
      </c>
      <c r="N48" s="90">
        <f t="shared" si="30"/>
        <v>-134954.59422912871</v>
      </c>
      <c r="O48" s="90">
        <f t="shared" si="30"/>
        <v>-153404.34740366784</v>
      </c>
      <c r="P48" s="90">
        <f t="shared" si="30"/>
        <v>-173461.76403158149</v>
      </c>
    </row>
    <row r="49" spans="2:16" outlineLevel="1">
      <c r="B49" s="53" t="s">
        <v>297</v>
      </c>
      <c r="C49" s="32"/>
      <c r="D49" s="83">
        <f>D83</f>
        <v>19800</v>
      </c>
      <c r="E49" s="69">
        <f t="shared" ref="E49:P49" si="31">E83</f>
        <v>29211</v>
      </c>
      <c r="F49" s="69">
        <f t="shared" si="31"/>
        <v>33851</v>
      </c>
      <c r="G49" s="69">
        <f t="shared" si="31"/>
        <v>41313</v>
      </c>
      <c r="H49" s="69">
        <f t="shared" si="31"/>
        <v>48337</v>
      </c>
      <c r="I49" s="69">
        <f t="shared" si="31"/>
        <v>65531</v>
      </c>
      <c r="J49" s="69">
        <f t="shared" si="31"/>
        <v>76765</v>
      </c>
      <c r="K49" s="69">
        <f t="shared" si="31"/>
        <v>85571</v>
      </c>
      <c r="L49" s="93">
        <f t="shared" si="31"/>
        <v>94100.383198889962</v>
      </c>
      <c r="M49" s="93">
        <f t="shared" si="31"/>
        <v>105699.61909137115</v>
      </c>
      <c r="N49" s="93">
        <f t="shared" si="31"/>
        <v>118126.16143000984</v>
      </c>
      <c r="O49" s="93">
        <f t="shared" si="31"/>
        <v>131370.53025963713</v>
      </c>
      <c r="P49" s="93">
        <f t="shared" si="31"/>
        <v>145416.77467098439</v>
      </c>
    </row>
    <row r="50" spans="2:16" outlineLevel="1">
      <c r="B50" s="114" t="s">
        <v>212</v>
      </c>
      <c r="C50" s="33"/>
      <c r="D50" s="84">
        <f t="shared" ref="D50" si="32">D86</f>
        <v>43816</v>
      </c>
      <c r="E50" s="70">
        <f t="shared" ref="E50:H50" si="33">E86</f>
        <v>57883</v>
      </c>
      <c r="F50" s="70">
        <f t="shared" si="33"/>
        <v>68391</v>
      </c>
      <c r="G50" s="70">
        <f t="shared" si="33"/>
        <v>87812</v>
      </c>
      <c r="H50" s="70">
        <f t="shared" si="33"/>
        <v>126385</v>
      </c>
      <c r="I50" s="51">
        <f>I86</f>
        <v>142266</v>
      </c>
      <c r="J50" s="51">
        <f t="shared" ref="J50:K50" si="34">J86</f>
        <v>155393</v>
      </c>
      <c r="K50" s="51">
        <f t="shared" si="34"/>
        <v>164917</v>
      </c>
      <c r="L50" s="91">
        <f t="shared" ref="L50:P50" si="35">L86</f>
        <v>196820.62140155787</v>
      </c>
      <c r="M50" s="91">
        <f t="shared" si="35"/>
        <v>223775.08842243662</v>
      </c>
      <c r="N50" s="91">
        <f t="shared" si="35"/>
        <v>253080.75565913855</v>
      </c>
      <c r="O50" s="91">
        <f t="shared" si="35"/>
        <v>284774.87766330497</v>
      </c>
      <c r="P50" s="91">
        <f t="shared" si="35"/>
        <v>318878.53870256589</v>
      </c>
    </row>
    <row r="51" spans="2:16" outlineLevel="1">
      <c r="B51" s="28" t="s">
        <v>213</v>
      </c>
      <c r="C51" s="34"/>
      <c r="D51" s="115"/>
      <c r="E51" s="86">
        <f t="shared" ref="E51:H51" si="36">E44+E45-E46-E47</f>
        <v>9413</v>
      </c>
      <c r="F51" s="86">
        <f t="shared" si="36"/>
        <v>21110</v>
      </c>
      <c r="G51" s="86">
        <f t="shared" si="36"/>
        <v>33226</v>
      </c>
      <c r="H51" s="86">
        <f t="shared" si="36"/>
        <v>41721</v>
      </c>
      <c r="I51" s="86">
        <f t="shared" ref="I51:P51" si="37">I44+I45-I46-I47</f>
        <v>-2188</v>
      </c>
      <c r="J51" s="86">
        <f t="shared" si="37"/>
        <v>958</v>
      </c>
      <c r="K51" s="86">
        <f t="shared" si="37"/>
        <v>30980</v>
      </c>
      <c r="L51" s="86">
        <f t="shared" si="37"/>
        <v>41516.766272584413</v>
      </c>
      <c r="M51" s="86">
        <f t="shared" si="37"/>
        <v>38038.922915695803</v>
      </c>
      <c r="N51" s="86">
        <f t="shared" si="37"/>
        <v>44339.232839397795</v>
      </c>
      <c r="O51" s="86">
        <f t="shared" si="37"/>
        <v>50796.813531898239</v>
      </c>
      <c r="P51" s="86">
        <f t="shared" si="37"/>
        <v>57246.968509513375</v>
      </c>
    </row>
    <row r="52" spans="2:16" outlineLevel="1">
      <c r="B52" s="6"/>
      <c r="C52" s="6"/>
      <c r="D52" s="6"/>
      <c r="E52" s="6"/>
      <c r="F52" s="56"/>
      <c r="G52" s="56"/>
      <c r="H52" s="56"/>
      <c r="I52" s="56"/>
      <c r="J52" s="56"/>
      <c r="K52" s="56"/>
      <c r="L52" s="6"/>
      <c r="M52" s="6"/>
      <c r="N52" s="6"/>
      <c r="O52" s="6"/>
      <c r="P52" s="6"/>
    </row>
    <row r="53" spans="2:16" outlineLevel="1">
      <c r="B53" s="113" t="s">
        <v>214</v>
      </c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</row>
    <row r="54" spans="2:16" outlineLevel="1">
      <c r="B54" s="104" t="str">
        <f>B31</f>
        <v>Fiscal Year</v>
      </c>
      <c r="C54" s="110"/>
      <c r="D54" s="107">
        <f>D$8</f>
        <v>42735</v>
      </c>
      <c r="E54" s="107">
        <f>E$8</f>
        <v>43100</v>
      </c>
      <c r="F54" s="107">
        <f t="shared" ref="F54:P54" si="38">F$8</f>
        <v>43465</v>
      </c>
      <c r="G54" s="107">
        <f t="shared" si="38"/>
        <v>43830</v>
      </c>
      <c r="H54" s="107">
        <f t="shared" si="38"/>
        <v>44196</v>
      </c>
      <c r="I54" s="107">
        <f t="shared" si="38"/>
        <v>44561</v>
      </c>
      <c r="J54" s="107">
        <f t="shared" si="38"/>
        <v>44926</v>
      </c>
      <c r="K54" s="107">
        <f t="shared" si="38"/>
        <v>45291</v>
      </c>
      <c r="L54" s="108">
        <f t="shared" si="38"/>
        <v>45657</v>
      </c>
      <c r="M54" s="108">
        <f t="shared" si="38"/>
        <v>46022</v>
      </c>
      <c r="N54" s="108">
        <f t="shared" si="38"/>
        <v>46387</v>
      </c>
      <c r="O54" s="108">
        <f t="shared" si="38"/>
        <v>46752</v>
      </c>
      <c r="P54" s="108">
        <f t="shared" si="38"/>
        <v>47118</v>
      </c>
    </row>
    <row r="55" spans="2:16" outlineLevel="1">
      <c r="B55" s="66" t="s">
        <v>292</v>
      </c>
      <c r="C55" s="132">
        <v>0.5</v>
      </c>
      <c r="D55" s="77"/>
      <c r="E55" s="68">
        <f>(1-$K55)*$C55^6</f>
        <v>8.5937500000000007E-3</v>
      </c>
      <c r="F55" s="68">
        <f>(1-$K55)*$C55^5</f>
        <v>1.7187500000000001E-2</v>
      </c>
      <c r="G55" s="68">
        <f>(1-$K55)*$C55^4</f>
        <v>3.4375000000000003E-2</v>
      </c>
      <c r="H55" s="68">
        <f>(1-$K55)*$C55^3</f>
        <v>6.8750000000000006E-2</v>
      </c>
      <c r="I55" s="68">
        <f>(1-$K55)*$C55^2</f>
        <v>0.13750000000000001</v>
      </c>
      <c r="J55" s="68">
        <f>(1-$K55)*$C55^1</f>
        <v>0.27500000000000002</v>
      </c>
      <c r="K55" s="133">
        <v>0.45</v>
      </c>
      <c r="L55" s="67"/>
      <c r="M55" s="67"/>
      <c r="N55" s="67"/>
      <c r="O55" s="67"/>
      <c r="P55" s="67"/>
    </row>
    <row r="56" spans="2:16" outlineLevel="1">
      <c r="B56" s="6" t="s">
        <v>308</v>
      </c>
      <c r="C56" s="134">
        <f>AVERAGE((G56/F56-1),(H56/G56-1),(I56/H56-1),(J56/I56-1),(K56/J56-1))</f>
        <v>-4.3731772554361337E-2</v>
      </c>
      <c r="D56" s="73"/>
      <c r="E56" s="58"/>
      <c r="F56" s="59">
        <f t="shared" ref="F56:K56" si="39">F32/E32-1</f>
        <v>0.3093396152159491</v>
      </c>
      <c r="G56" s="59">
        <f t="shared" si="39"/>
        <v>0.20325307981982688</v>
      </c>
      <c r="H56" s="59">
        <f t="shared" si="39"/>
        <v>0.37763630264575943</v>
      </c>
      <c r="I56" s="59">
        <f t="shared" si="39"/>
        <v>0.21701671312078408</v>
      </c>
      <c r="J56" s="59">
        <f t="shared" si="39"/>
        <v>9.399517263985091E-2</v>
      </c>
      <c r="K56" s="23">
        <f t="shared" si="39"/>
        <v>0.1182957412988368</v>
      </c>
      <c r="L56" s="94">
        <f>SUMPRODUCT(F56:K56,F55:K55)/SUM(F55:K55)+SUMPRODUCT(F56:K56,F55:K55)/SUM(F55:K55)*$C56</f>
        <v>0.14321233437726968</v>
      </c>
      <c r="M56" s="94">
        <f>L56+L56*$C56</f>
        <v>0.13694940514330378</v>
      </c>
      <c r="N56" s="94">
        <f t="shared" ref="N56:P56" si="40">M56+M56*$C56</f>
        <v>0.13096036490612173</v>
      </c>
      <c r="O56" s="94">
        <f t="shared" si="40"/>
        <v>0.12523323601441105</v>
      </c>
      <c r="P56" s="94">
        <f t="shared" si="40"/>
        <v>0.11975656462078217</v>
      </c>
    </row>
    <row r="57" spans="2:16" outlineLevel="1">
      <c r="B57" s="6" t="s">
        <v>307</v>
      </c>
      <c r="C57" s="134">
        <f>AVERAGE((F57/E57-1),(G57/F57-1),(H57/G57-1),(I57/H57-1),(J57/I57-1),(K57/J57-1))</f>
        <v>-2.779606672241151E-2</v>
      </c>
      <c r="D57" s="73"/>
      <c r="E57" s="59">
        <f t="shared" ref="E57:K57" si="41">E33/E32</f>
        <v>0.6293164517108385</v>
      </c>
      <c r="F57" s="59">
        <f t="shared" si="41"/>
        <v>0.59752583871147813</v>
      </c>
      <c r="G57" s="59">
        <f t="shared" si="41"/>
        <v>0.59073163420430941</v>
      </c>
      <c r="H57" s="59">
        <f t="shared" si="41"/>
        <v>0.60435338976904185</v>
      </c>
      <c r="I57" s="59">
        <f t="shared" si="41"/>
        <v>0.57967485558360399</v>
      </c>
      <c r="J57" s="59">
        <f t="shared" si="41"/>
        <v>0.56194660134673713</v>
      </c>
      <c r="K57" s="23">
        <f t="shared" si="41"/>
        <v>0.53017911044999433</v>
      </c>
      <c r="L57" s="94">
        <f>SUMPRODUCT(E57:K57,E$55:K$55)/SUM(E$55:K$55)+SUMPRODUCT(E57:K57,E$55:K$55)/SUM(E$55:K$55)*C57</f>
        <v>0.53969536770623239</v>
      </c>
      <c r="M57" s="94">
        <f>L57+L57*$C57</f>
        <v>0.52469395925569351</v>
      </c>
      <c r="N57" s="94">
        <f>M57+M57*$C57</f>
        <v>0.51010953095537603</v>
      </c>
      <c r="O57" s="94">
        <f>N57+N57*$C57</f>
        <v>0.49593049239720238</v>
      </c>
      <c r="P57" s="94">
        <f>O57+O57*$C57</f>
        <v>0.48214557534085134</v>
      </c>
    </row>
    <row r="58" spans="2:16" outlineLevel="1">
      <c r="B58" s="6" t="s">
        <v>309</v>
      </c>
      <c r="C58" s="134">
        <f>AVERAGE((F58/E58-1),(G58/F58-1),(H58/G58-1),(I58/H58-1),(J58/I58-1),(K58/J58-1))</f>
        <v>3.1657556390564834E-2</v>
      </c>
      <c r="D58" s="73"/>
      <c r="E58" s="59">
        <f t="shared" ref="E58:K60" si="42">E36/E$32</f>
        <v>0.12717438970910686</v>
      </c>
      <c r="F58" s="59">
        <f t="shared" si="42"/>
        <v>0.12382400048091993</v>
      </c>
      <c r="G58" s="59">
        <f t="shared" si="42"/>
        <v>0.12822333721121112</v>
      </c>
      <c r="H58" s="59">
        <f t="shared" si="42"/>
        <v>0.11071276849271068</v>
      </c>
      <c r="I58" s="59">
        <f t="shared" si="42"/>
        <v>0.11930475797216818</v>
      </c>
      <c r="J58" s="59">
        <f t="shared" si="42"/>
        <v>0.14244245432241923</v>
      </c>
      <c r="K58" s="59">
        <f t="shared" si="42"/>
        <v>0.14896352549214054</v>
      </c>
      <c r="L58" s="94">
        <f t="shared" ref="L58:L59" si="43">SUMPRODUCT(E58:K58,E$55:K$55)/SUM(E$55:K$55)+SUMPRODUCT(E58:K58,E$55:K$55)/SUM(E$55:K$55)*C58</f>
        <v>0.14344671417765043</v>
      </c>
      <c r="M58" s="94">
        <f t="shared" ref="M58:P59" si="44">L58+L58*$C58</f>
        <v>0.14798788662077064</v>
      </c>
      <c r="N58" s="94">
        <f t="shared" si="44"/>
        <v>0.1526728214865882</v>
      </c>
      <c r="O58" s="94">
        <f t="shared" si="44"/>
        <v>0.1575060699421065</v>
      </c>
      <c r="P58" s="94">
        <f t="shared" si="44"/>
        <v>0.16249232723315499</v>
      </c>
    </row>
    <row r="59" spans="2:16" outlineLevel="1">
      <c r="B59" s="6" t="s">
        <v>310</v>
      </c>
      <c r="C59" s="134">
        <f>AVERAGE((F59/E59-1),(G59/F59-1),(H59/G59-1),(I59/H59-1),(J59/I59-1),(K59/J59-1))</f>
        <v>2.7138219951409248E-2</v>
      </c>
      <c r="D59" s="73"/>
      <c r="E59" s="59">
        <f t="shared" si="42"/>
        <v>0.21922121147380613</v>
      </c>
      <c r="F59" s="59">
        <f t="shared" si="42"/>
        <v>0.22404427898508719</v>
      </c>
      <c r="G59" s="59">
        <f t="shared" si="42"/>
        <v>0.22950731919692244</v>
      </c>
      <c r="H59" s="59">
        <f t="shared" si="42"/>
        <v>0.22586285501134587</v>
      </c>
      <c r="I59" s="59">
        <f t="shared" si="42"/>
        <v>0.24793432406315583</v>
      </c>
      <c r="J59" s="59">
        <f t="shared" si="42"/>
        <v>0.26932408270312441</v>
      </c>
      <c r="K59" s="59">
        <f t="shared" si="42"/>
        <v>0.2554085440643023</v>
      </c>
      <c r="L59" s="94">
        <f t="shared" si="43"/>
        <v>0.26133221170457405</v>
      </c>
      <c r="M59" s="94">
        <f t="shared" si="44"/>
        <v>0.26842430274620105</v>
      </c>
      <c r="N59" s="94">
        <f t="shared" si="44"/>
        <v>0.27570886051443111</v>
      </c>
      <c r="O59" s="94">
        <f t="shared" si="44"/>
        <v>0.28319110821362414</v>
      </c>
      <c r="P59" s="94">
        <f t="shared" si="44"/>
        <v>0.29087641079660881</v>
      </c>
    </row>
    <row r="60" spans="2:16" outlineLevel="1">
      <c r="B60" s="6" t="s">
        <v>293</v>
      </c>
      <c r="C60" s="29"/>
      <c r="D60" s="73"/>
      <c r="E60" s="59">
        <f t="shared" si="42"/>
        <v>0</v>
      </c>
      <c r="F60" s="59">
        <f t="shared" si="42"/>
        <v>0</v>
      </c>
      <c r="G60" s="59">
        <f t="shared" si="42"/>
        <v>-1.0705797546231202E-3</v>
      </c>
      <c r="H60" s="59">
        <f t="shared" si="42"/>
        <v>-5.1807565976935275E-5</v>
      </c>
      <c r="I60" s="59">
        <f t="shared" si="42"/>
        <v>0</v>
      </c>
      <c r="J60" s="59">
        <f t="shared" si="42"/>
        <v>0</v>
      </c>
      <c r="K60" s="59">
        <f t="shared" si="42"/>
        <v>0</v>
      </c>
      <c r="L60" s="94">
        <f>SUMPRODUCT(E60:K60,E$55:K$55)/SUM(E$55:K$55)</f>
        <v>-4.0712825066499285E-5</v>
      </c>
      <c r="M60" s="94">
        <f t="shared" ref="M58:M61" si="45">L60</f>
        <v>-4.0712825066499285E-5</v>
      </c>
      <c r="N60" s="94">
        <f t="shared" ref="N59:P60" si="46">M60</f>
        <v>-4.0712825066499285E-5</v>
      </c>
      <c r="O60" s="94">
        <f t="shared" si="46"/>
        <v>-4.0712825066499285E-5</v>
      </c>
      <c r="P60" s="94">
        <f t="shared" si="46"/>
        <v>-4.0712825066499285E-5</v>
      </c>
    </row>
    <row r="61" spans="2:16" outlineLevel="1">
      <c r="B61" s="25" t="s">
        <v>215</v>
      </c>
      <c r="C61" s="30"/>
      <c r="D61" s="74"/>
      <c r="E61" s="60">
        <f t="shared" ref="E61:K61" si="47">E43/E42</f>
        <v>0.18728689722357525</v>
      </c>
      <c r="F61" s="60">
        <f t="shared" si="47"/>
        <v>9.6369052411239026E-2</v>
      </c>
      <c r="G61" s="60">
        <f t="shared" si="47"/>
        <v>0.16326249914036173</v>
      </c>
      <c r="H61" s="60">
        <f t="shared" si="47"/>
        <v>0.12502729376828683</v>
      </c>
      <c r="I61" s="60">
        <f t="shared" si="47"/>
        <v>0.1925720487157844</v>
      </c>
      <c r="J61" s="60">
        <f t="shared" si="47"/>
        <v>-0.2626551273677335</v>
      </c>
      <c r="K61" s="35">
        <f t="shared" si="47"/>
        <v>0.19320525344621731</v>
      </c>
      <c r="L61" s="95">
        <f t="array" ref="L61">SUMPRODUCT((E61:K61 &gt; 0) * E61:K61, E$55:K$55) / SUM((E61:K61 &gt; 0) * E$55:K$55)</f>
        <v>0.18271006913335983</v>
      </c>
      <c r="M61" s="95">
        <f t="shared" si="45"/>
        <v>0.18271006913335983</v>
      </c>
      <c r="N61" s="95">
        <f t="shared" ref="N61:P61" si="48">M61</f>
        <v>0.18271006913335983</v>
      </c>
      <c r="O61" s="95">
        <f t="shared" si="48"/>
        <v>0.18271006913335983</v>
      </c>
      <c r="P61" s="95">
        <f t="shared" si="48"/>
        <v>0.18271006913335983</v>
      </c>
    </row>
    <row r="62" spans="2:16" outlineLevel="1"/>
    <row r="63" spans="2:16" outlineLevel="1">
      <c r="B63" s="2"/>
    </row>
    <row r="64" spans="2:16" ht="26">
      <c r="B64" s="49" t="s">
        <v>247</v>
      </c>
    </row>
    <row r="65" spans="1:16" outlineLevel="1">
      <c r="B65" s="113" t="s">
        <v>216</v>
      </c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</row>
    <row r="66" spans="1:16" outlineLevel="1">
      <c r="B66" s="109" t="s">
        <v>206</v>
      </c>
      <c r="C66" s="110"/>
      <c r="D66" s="107">
        <f>D$8</f>
        <v>42735</v>
      </c>
      <c r="E66" s="107">
        <f>E$8</f>
        <v>43100</v>
      </c>
      <c r="F66" s="107">
        <f t="shared" ref="F66:P66" si="49">F$8</f>
        <v>43465</v>
      </c>
      <c r="G66" s="107">
        <f t="shared" si="49"/>
        <v>43830</v>
      </c>
      <c r="H66" s="107">
        <f t="shared" si="49"/>
        <v>44196</v>
      </c>
      <c r="I66" s="107">
        <f t="shared" si="49"/>
        <v>44561</v>
      </c>
      <c r="J66" s="107">
        <f t="shared" si="49"/>
        <v>44926</v>
      </c>
      <c r="K66" s="107">
        <f t="shared" si="49"/>
        <v>45291</v>
      </c>
      <c r="L66" s="108">
        <f t="shared" si="49"/>
        <v>45657</v>
      </c>
      <c r="M66" s="108">
        <f t="shared" si="49"/>
        <v>46022</v>
      </c>
      <c r="N66" s="108">
        <f t="shared" si="49"/>
        <v>46387</v>
      </c>
      <c r="O66" s="108">
        <f t="shared" si="49"/>
        <v>46752</v>
      </c>
      <c r="P66" s="108">
        <f t="shared" si="49"/>
        <v>47118</v>
      </c>
    </row>
    <row r="67" spans="1:16" outlineLevel="1">
      <c r="A67" s="54"/>
      <c r="B67" s="6" t="s">
        <v>217</v>
      </c>
      <c r="C67" s="39"/>
      <c r="D67" s="72"/>
      <c r="E67" s="50">
        <f>E41</f>
        <v>11478</v>
      </c>
      <c r="F67" s="50">
        <f>F41</f>
        <v>15341</v>
      </c>
      <c r="G67" s="50">
        <f>G41</f>
        <v>21789</v>
      </c>
      <c r="H67" s="50">
        <f>H41</f>
        <v>25180</v>
      </c>
      <c r="I67" s="50">
        <f>I41</f>
        <v>34433</v>
      </c>
      <c r="J67" s="50">
        <f>J41</f>
        <v>41921</v>
      </c>
      <c r="K67" s="50">
        <f>K41</f>
        <v>48663</v>
      </c>
      <c r="L67" s="90">
        <f>L$32*L73</f>
        <v>52112.245299871727</v>
      </c>
      <c r="M67" s="90">
        <f>M$32*M73</f>
        <v>59248.986294371083</v>
      </c>
      <c r="N67" s="90">
        <f>N$32*N73</f>
        <v>67008.255159799723</v>
      </c>
      <c r="O67" s="90">
        <f>O$32*O73</f>
        <v>75399.915793140797</v>
      </c>
      <c r="P67" s="90">
        <f>P$32*P73</f>
        <v>84429.550681223598</v>
      </c>
    </row>
    <row r="68" spans="1:16" outlineLevel="1">
      <c r="A68" s="54"/>
      <c r="B68" s="25" t="s">
        <v>296</v>
      </c>
      <c r="C68" s="40"/>
      <c r="D68" s="78"/>
      <c r="E68" s="51">
        <f>INDEX('CF(AMZN)'!$C$4:$K$100,MATCH($B68,'CF(AMZN)'!$B$4:$B$100,0),MATCH(E$31,'CF(AMZN)'!$C$3:$K$3,0))</f>
        <v>-10058</v>
      </c>
      <c r="F68" s="51">
        <f>INDEX('CF(AMZN)'!$C$4:$K$100,MATCH($B68,'CF(AMZN)'!$B$4:$B$100,0),MATCH(F$31,'CF(AMZN)'!$C$3:$K$3,0))</f>
        <v>-11323</v>
      </c>
      <c r="G68" s="51">
        <f>INDEX('CF(AMZN)'!$C$4:$K$100,MATCH($B68,'CF(AMZN)'!$B$4:$B$100,0),MATCH(G$31,'CF(AMZN)'!$C$3:$K$3,0))</f>
        <v>-12689</v>
      </c>
      <c r="H68" s="51">
        <f>INDEX('CF(AMZN)'!$C$4:$K$100,MATCH($B68,'CF(AMZN)'!$B$4:$B$100,0),MATCH(H$31,'CF(AMZN)'!$C$3:$K$3,0))</f>
        <v>-35044</v>
      </c>
      <c r="I68" s="51">
        <f>INDEX('CF(AMZN)'!$C$4:$K$100,MATCH($B68,'CF(AMZN)'!$B$4:$B$100,0),MATCH(I$31,'CF(AMZN)'!$C$3:$K$3,0))</f>
        <v>-55396</v>
      </c>
      <c r="J68" s="51">
        <f>INDEX('CF(AMZN)'!$C$4:$K$100,MATCH($B68,'CF(AMZN)'!$B$4:$B$100,0),MATCH(J$31,'CF(AMZN)'!$C$3:$K$3,0))</f>
        <v>-58321</v>
      </c>
      <c r="K68" s="51">
        <f>INDEX('CF(AMZN)'!$C$4:$K$100,MATCH($B68,'CF(AMZN)'!$B$4:$B$100,0),MATCH(K$31,'CF(AMZN)'!$C$3:$K$3,0))</f>
        <v>-48133</v>
      </c>
      <c r="L68" s="91">
        <f>L$32*L74</f>
        <v>-63811.233562043228</v>
      </c>
      <c r="M68" s="91">
        <f>M$32*M74</f>
        <v>-72550.144039825478</v>
      </c>
      <c r="N68" s="91">
        <f>N$32*N74</f>
        <v>-82051.337377272706</v>
      </c>
      <c r="O68" s="91">
        <f>O$32*O74</f>
        <v>-92326.891876338763</v>
      </c>
      <c r="P68" s="91">
        <f>P$32*P74</f>
        <v>-103383.64326956349</v>
      </c>
    </row>
    <row r="69" spans="1:16" outlineLevel="1">
      <c r="E69" s="126"/>
      <c r="F69" s="126"/>
      <c r="G69" s="126"/>
      <c r="H69" s="126"/>
      <c r="I69" s="126"/>
      <c r="J69" s="126"/>
      <c r="K69" s="126"/>
      <c r="L69" s="126"/>
      <c r="M69" s="126"/>
      <c r="N69" s="126"/>
      <c r="O69" s="126"/>
      <c r="P69" s="126"/>
    </row>
    <row r="70" spans="1:16" outlineLevel="1">
      <c r="B70" s="112" t="s">
        <v>214</v>
      </c>
      <c r="C70" s="112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</row>
    <row r="71" spans="1:16" outlineLevel="1">
      <c r="B71" s="109" t="s">
        <v>206</v>
      </c>
      <c r="C71" s="110"/>
      <c r="D71" s="107">
        <f>D$8</f>
        <v>42735</v>
      </c>
      <c r="E71" s="107">
        <f>E$8</f>
        <v>43100</v>
      </c>
      <c r="F71" s="107">
        <f t="shared" ref="F71:P71" si="50">F$8</f>
        <v>43465</v>
      </c>
      <c r="G71" s="107">
        <f t="shared" si="50"/>
        <v>43830</v>
      </c>
      <c r="H71" s="107">
        <f t="shared" si="50"/>
        <v>44196</v>
      </c>
      <c r="I71" s="107">
        <f t="shared" si="50"/>
        <v>44561</v>
      </c>
      <c r="J71" s="107">
        <f t="shared" si="50"/>
        <v>44926</v>
      </c>
      <c r="K71" s="107">
        <f t="shared" si="50"/>
        <v>45291</v>
      </c>
      <c r="L71" s="108">
        <f t="shared" si="50"/>
        <v>45657</v>
      </c>
      <c r="M71" s="108">
        <f t="shared" si="50"/>
        <v>46022</v>
      </c>
      <c r="N71" s="108">
        <f t="shared" si="50"/>
        <v>46387</v>
      </c>
      <c r="O71" s="108">
        <f t="shared" si="50"/>
        <v>46752</v>
      </c>
      <c r="P71" s="108">
        <f t="shared" si="50"/>
        <v>47118</v>
      </c>
    </row>
    <row r="72" spans="1:16" outlineLevel="1">
      <c r="B72" s="66" t="s">
        <v>292</v>
      </c>
      <c r="C72" s="132">
        <v>0.5</v>
      </c>
      <c r="D72" s="77"/>
      <c r="E72" s="68">
        <f>(1-$K72)*$C72^6</f>
        <v>1.015625E-2</v>
      </c>
      <c r="F72" s="68">
        <f>(1-$K72)*$C72^5</f>
        <v>2.0312500000000001E-2</v>
      </c>
      <c r="G72" s="68">
        <f>(1-$K72)*$C72^4</f>
        <v>4.0625000000000001E-2</v>
      </c>
      <c r="H72" s="68">
        <f>(1-$K72)*$C72^3</f>
        <v>8.1250000000000003E-2</v>
      </c>
      <c r="I72" s="68">
        <f>(1-$K72)*$C72^2</f>
        <v>0.16250000000000001</v>
      </c>
      <c r="J72" s="68">
        <f>(1-$K72)*$C72^1</f>
        <v>0.32500000000000001</v>
      </c>
      <c r="K72" s="133">
        <v>0.35</v>
      </c>
      <c r="L72" s="67"/>
      <c r="M72" s="67"/>
      <c r="N72" s="67"/>
      <c r="O72" s="67"/>
      <c r="P72" s="67"/>
    </row>
    <row r="73" spans="1:16" outlineLevel="1">
      <c r="B73" s="127" t="s">
        <v>305</v>
      </c>
      <c r="C73" s="131"/>
      <c r="D73" s="129"/>
      <c r="E73" s="128">
        <f>E67/E32</f>
        <v>6.4531726130907532E-2</v>
      </c>
      <c r="F73" s="128">
        <f>F67/F32</f>
        <v>6.5873148780309768E-2</v>
      </c>
      <c r="G73" s="128">
        <f>G67/G32</f>
        <v>7.7756207578277226E-2</v>
      </c>
      <c r="H73" s="128">
        <f>H67/H32</f>
        <v>6.5225725564961506E-2</v>
      </c>
      <c r="I73" s="128">
        <f>I67/I32</f>
        <v>7.3289458560901785E-2</v>
      </c>
      <c r="J73" s="128">
        <f>J67/J32</f>
        <v>8.1561063303650122E-2</v>
      </c>
      <c r="K73" s="128">
        <f>K67/K32</f>
        <v>8.4662960933218512E-2</v>
      </c>
      <c r="L73" s="130">
        <f>SUMPRODUCT(E73:K73,E$72:K$72)/SUM(E$72:K$72)</f>
        <v>7.9306257911510789E-2</v>
      </c>
      <c r="M73" s="130">
        <f t="shared" ref="M73:M74" si="51">L73</f>
        <v>7.9306257911510789E-2</v>
      </c>
      <c r="N73" s="130">
        <f t="shared" ref="N73:N74" si="52">M73</f>
        <v>7.9306257911510789E-2</v>
      </c>
      <c r="O73" s="130">
        <f t="shared" ref="O73:O74" si="53">N73</f>
        <v>7.9306257911510789E-2</v>
      </c>
      <c r="P73" s="130">
        <f t="shared" ref="P73:P74" si="54">O73</f>
        <v>7.9306257911510789E-2</v>
      </c>
    </row>
    <row r="74" spans="1:16" outlineLevel="1">
      <c r="B74" s="25" t="s">
        <v>306</v>
      </c>
      <c r="C74" s="55"/>
      <c r="D74" s="80"/>
      <c r="E74" s="35">
        <f>E68/E32</f>
        <v>-5.6548187961723992E-2</v>
      </c>
      <c r="F74" s="35">
        <f>F68/F32</f>
        <v>-4.86201462511862E-2</v>
      </c>
      <c r="G74" s="35">
        <f>G68/G32</f>
        <v>-4.5281955021375907E-2</v>
      </c>
      <c r="H74" s="35">
        <f>H68/H32</f>
        <v>-9.0777217104785979E-2</v>
      </c>
      <c r="I74" s="35">
        <f>I68/I32</f>
        <v>-0.11790848448987064</v>
      </c>
      <c r="J74" s="35">
        <f>J68/J32</f>
        <v>-0.11346873340168838</v>
      </c>
      <c r="K74" s="35">
        <f>K68/K32</f>
        <v>-8.3740877023582724E-2</v>
      </c>
      <c r="L74" s="95">
        <f t="shared" ref="L74" si="55">SUMPRODUCT(E74:K74,E$72:K$72)/SUM(E$72:K$72)</f>
        <v>-9.7110191998108178E-2</v>
      </c>
      <c r="M74" s="95">
        <f t="shared" si="51"/>
        <v>-9.7110191998108178E-2</v>
      </c>
      <c r="N74" s="95">
        <f t="shared" si="52"/>
        <v>-9.7110191998108178E-2</v>
      </c>
      <c r="O74" s="95">
        <f t="shared" si="53"/>
        <v>-9.7110191998108178E-2</v>
      </c>
      <c r="P74" s="95">
        <f t="shared" si="54"/>
        <v>-9.7110191998108178E-2</v>
      </c>
    </row>
    <row r="75" spans="1:16" outlineLevel="1">
      <c r="B75" s="6"/>
      <c r="C75" s="23"/>
      <c r="D75" s="23"/>
      <c r="E75" s="23"/>
      <c r="F75" s="23"/>
      <c r="G75" s="23"/>
      <c r="H75" s="23"/>
      <c r="I75" s="23"/>
      <c r="J75" s="23"/>
      <c r="K75" s="23"/>
    </row>
    <row r="76" spans="1:16" outlineLevel="1">
      <c r="B76" s="6"/>
      <c r="C76" s="23"/>
      <c r="D76" s="23"/>
      <c r="E76" s="23"/>
      <c r="F76" s="23"/>
      <c r="G76" s="23"/>
      <c r="H76" s="23"/>
      <c r="I76" s="23"/>
      <c r="J76" s="23"/>
      <c r="K76" s="23"/>
    </row>
    <row r="77" spans="1:16" ht="26">
      <c r="B77" s="49" t="s">
        <v>248</v>
      </c>
    </row>
    <row r="78" spans="1:16" outlineLevel="1">
      <c r="B78" s="112" t="s">
        <v>229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</row>
    <row r="79" spans="1:16" outlineLevel="1">
      <c r="B79" s="104" t="s">
        <v>206</v>
      </c>
      <c r="C79" s="105"/>
      <c r="D79" s="107">
        <f>D$8</f>
        <v>42735</v>
      </c>
      <c r="E79" s="107">
        <f>E$8</f>
        <v>43100</v>
      </c>
      <c r="F79" s="107">
        <f t="shared" ref="F79:P79" si="56">F$8</f>
        <v>43465</v>
      </c>
      <c r="G79" s="107">
        <f t="shared" si="56"/>
        <v>43830</v>
      </c>
      <c r="H79" s="107">
        <f t="shared" si="56"/>
        <v>44196</v>
      </c>
      <c r="I79" s="107">
        <f t="shared" si="56"/>
        <v>44561</v>
      </c>
      <c r="J79" s="107">
        <f t="shared" si="56"/>
        <v>44926</v>
      </c>
      <c r="K79" s="107">
        <f t="shared" si="56"/>
        <v>45291</v>
      </c>
      <c r="L79" s="108">
        <f t="shared" si="56"/>
        <v>45657</v>
      </c>
      <c r="M79" s="108">
        <f t="shared" si="56"/>
        <v>46022</v>
      </c>
      <c r="N79" s="108">
        <f t="shared" si="56"/>
        <v>46387</v>
      </c>
      <c r="O79" s="108">
        <f t="shared" si="56"/>
        <v>46752</v>
      </c>
      <c r="P79" s="108">
        <f t="shared" si="56"/>
        <v>47118</v>
      </c>
    </row>
    <row r="80" spans="1:16" outlineLevel="1">
      <c r="B80" s="6" t="s">
        <v>230</v>
      </c>
      <c r="C80" s="39"/>
      <c r="D80" s="22">
        <f>INDEX('BS(AMZN)'!$C$4:$K$100,MATCH($B80,'BS(AMZN)'!$B$4:$B$100,0),MATCH(D$79,'BS(AMZN)'!$C$3:$K$3,0))</f>
        <v>8339</v>
      </c>
      <c r="E80" s="22">
        <f>INDEX('BS(AMZN)'!$C$4:$K$100,MATCH($B80,'BS(AMZN)'!$B$4:$B$100,0),MATCH(E$79,'BS(AMZN)'!$C$3:$K$3,0))</f>
        <v>13164</v>
      </c>
      <c r="F80" s="22">
        <f>INDEX('BS(AMZN)'!$C$4:$K$100,MATCH($B80,'BS(AMZN)'!$B$4:$B$100,0),MATCH(F$79,'BS(AMZN)'!$C$3:$K$3,0))</f>
        <v>16677</v>
      </c>
      <c r="G80" s="22">
        <f>INDEX('BS(AMZN)'!$C$4:$K$100,MATCH($B80,'BS(AMZN)'!$B$4:$B$100,0),MATCH(G$79,'BS(AMZN)'!$C$3:$K$3,0))</f>
        <v>20816</v>
      </c>
      <c r="H80" s="22">
        <f>INDEX('BS(AMZN)'!$C$4:$K$100,MATCH($B80,'BS(AMZN)'!$B$4:$B$100,0),MATCH(H$79,'BS(AMZN)'!$C$3:$K$3,0))</f>
        <v>24542</v>
      </c>
      <c r="I80" s="22">
        <f>INDEX('BS(AMZN)'!$C$4:$K$100,MATCH($B80,'BS(AMZN)'!$B$4:$B$100,0),MATCH(I$79,'BS(AMZN)'!$C$3:$K$3,0))</f>
        <v>32891</v>
      </c>
      <c r="J80" s="22">
        <f>INDEX('BS(AMZN)'!$C$4:$K$100,MATCH($B80,'BS(AMZN)'!$B$4:$B$100,0),MATCH(J$79,'BS(AMZN)'!$C$3:$K$3,0))</f>
        <v>42360</v>
      </c>
      <c r="K80" s="22">
        <f>INDEX('BS(AMZN)'!$C$4:$K$100,MATCH($B80,'BS(AMZN)'!$B$4:$B$100,0),MATCH(K$79,'BS(AMZN)'!$C$3:$K$3,0))</f>
        <v>52253</v>
      </c>
      <c r="L80" s="96">
        <f t="shared" ref="L80:P81" si="57">L93*L90/360</f>
        <v>53352.132788558294</v>
      </c>
      <c r="M80" s="96">
        <f t="shared" si="57"/>
        <v>60658.675637077904</v>
      </c>
      <c r="N80" s="96">
        <f t="shared" si="57"/>
        <v>68602.557933231699</v>
      </c>
      <c r="O80" s="96">
        <f t="shared" si="57"/>
        <v>77193.87826207641</v>
      </c>
      <c r="P80" s="96">
        <f t="shared" si="57"/>
        <v>86438.35193249755</v>
      </c>
    </row>
    <row r="81" spans="2:16" outlineLevel="1">
      <c r="B81" s="6" t="s">
        <v>48</v>
      </c>
      <c r="C81" s="39"/>
      <c r="D81" s="22">
        <f>INDEX('BS(AMZN)'!$C$4:$K$100,MATCH($B81,'BS(AMZN)'!$B$4:$B$100,0),MATCH(D$79,'BS(AMZN)'!$C$3:$K$3,0))</f>
        <v>11461</v>
      </c>
      <c r="E81" s="22">
        <f>INDEX('BS(AMZN)'!$C$4:$K$100,MATCH($B81,'BS(AMZN)'!$B$4:$B$100,0),MATCH(E$79,'BS(AMZN)'!$C$3:$K$3,0))</f>
        <v>16047</v>
      </c>
      <c r="F81" s="22">
        <f>INDEX('BS(AMZN)'!$C$4:$K$100,MATCH($B81,'BS(AMZN)'!$B$4:$B$100,0),MATCH(F$79,'BS(AMZN)'!$C$3:$K$3,0))</f>
        <v>17174</v>
      </c>
      <c r="G81" s="22">
        <f>INDEX('BS(AMZN)'!$C$4:$K$100,MATCH($B81,'BS(AMZN)'!$B$4:$B$100,0),MATCH(G$79,'BS(AMZN)'!$C$3:$K$3,0))</f>
        <v>20497</v>
      </c>
      <c r="H81" s="22">
        <f>INDEX('BS(AMZN)'!$C$4:$K$100,MATCH($B81,'BS(AMZN)'!$B$4:$B$100,0),MATCH(H$79,'BS(AMZN)'!$C$3:$K$3,0))</f>
        <v>23795</v>
      </c>
      <c r="I81" s="22">
        <f>INDEX('BS(AMZN)'!$C$4:$K$100,MATCH($B81,'BS(AMZN)'!$B$4:$B$100,0),MATCH(I$79,'BS(AMZN)'!$C$3:$K$3,0))</f>
        <v>32640</v>
      </c>
      <c r="J81" s="22">
        <f>INDEX('BS(AMZN)'!$C$4:$K$100,MATCH($B81,'BS(AMZN)'!$B$4:$B$100,0),MATCH(J$79,'BS(AMZN)'!$C$3:$K$3,0))</f>
        <v>34405</v>
      </c>
      <c r="K81" s="22">
        <f>INDEX('BS(AMZN)'!$C$4:$K$100,MATCH($B81,'BS(AMZN)'!$B$4:$B$100,0),MATCH(K$79,'BS(AMZN)'!$C$3:$K$3,0))</f>
        <v>33318</v>
      </c>
      <c r="L81" s="96">
        <f t="shared" si="57"/>
        <v>40748.250410331675</v>
      </c>
      <c r="M81" s="96">
        <f t="shared" si="57"/>
        <v>45040.943454293243</v>
      </c>
      <c r="N81" s="96">
        <f t="shared" si="57"/>
        <v>49523.603496778145</v>
      </c>
      <c r="O81" s="96">
        <f t="shared" si="57"/>
        <v>54176.651997560715</v>
      </c>
      <c r="P81" s="96">
        <f t="shared" si="57"/>
        <v>58978.42273848685</v>
      </c>
    </row>
    <row r="82" spans="2:16" outlineLevel="1">
      <c r="B82" s="25" t="s">
        <v>186</v>
      </c>
      <c r="C82" s="40"/>
      <c r="D82" s="36">
        <f t="shared" ref="D82" si="58">D85-SUM(D80:D81,D84)</f>
        <v>0</v>
      </c>
      <c r="E82" s="36">
        <f>E85-SUM(E80:E81,E84)</f>
        <v>0</v>
      </c>
      <c r="F82" s="36">
        <f t="shared" ref="F82:K82" si="59">F85-SUM(F80:F81,F84)</f>
        <v>0</v>
      </c>
      <c r="G82" s="36">
        <f t="shared" si="59"/>
        <v>0</v>
      </c>
      <c r="H82" s="36">
        <f t="shared" si="59"/>
        <v>0</v>
      </c>
      <c r="I82" s="36">
        <f t="shared" si="59"/>
        <v>0</v>
      </c>
      <c r="J82" s="36">
        <f t="shared" si="59"/>
        <v>0</v>
      </c>
      <c r="K82" s="36">
        <f t="shared" si="59"/>
        <v>0</v>
      </c>
      <c r="L82" s="97">
        <f>AVERAGE(E82:K82)</f>
        <v>0</v>
      </c>
      <c r="M82" s="97">
        <f>L82</f>
        <v>0</v>
      </c>
      <c r="N82" s="97">
        <f>M82</f>
        <v>0</v>
      </c>
      <c r="O82" s="97">
        <f>N82</f>
        <v>0</v>
      </c>
      <c r="P82" s="97">
        <f>O82</f>
        <v>0</v>
      </c>
    </row>
    <row r="83" spans="2:16" outlineLevel="1">
      <c r="B83" s="64" t="s">
        <v>287</v>
      </c>
      <c r="C83" s="65"/>
      <c r="D83" s="88">
        <f t="shared" ref="D83" si="60">D85-D84</f>
        <v>19800</v>
      </c>
      <c r="E83" s="88">
        <f>E85-E84</f>
        <v>29211</v>
      </c>
      <c r="F83" s="88">
        <f t="shared" ref="F83:K83" si="61">F85-F84</f>
        <v>33851</v>
      </c>
      <c r="G83" s="88">
        <f t="shared" si="61"/>
        <v>41313</v>
      </c>
      <c r="H83" s="88">
        <f t="shared" si="61"/>
        <v>48337</v>
      </c>
      <c r="I83" s="88">
        <f t="shared" si="61"/>
        <v>65531</v>
      </c>
      <c r="J83" s="88">
        <f t="shared" si="61"/>
        <v>76765</v>
      </c>
      <c r="K83" s="88">
        <f t="shared" si="61"/>
        <v>85571</v>
      </c>
      <c r="L83" s="98">
        <f>SUM(L80:L82)</f>
        <v>94100.383198889962</v>
      </c>
      <c r="M83" s="98">
        <f t="shared" ref="M83:P83" si="62">SUM(M80:M82)</f>
        <v>105699.61909137115</v>
      </c>
      <c r="N83" s="98">
        <f t="shared" si="62"/>
        <v>118126.16143000984</v>
      </c>
      <c r="O83" s="98">
        <f t="shared" si="62"/>
        <v>131370.53025963713</v>
      </c>
      <c r="P83" s="98">
        <f t="shared" si="62"/>
        <v>145416.77467098439</v>
      </c>
    </row>
    <row r="84" spans="2:16" outlineLevel="1">
      <c r="B84" s="6" t="s">
        <v>36</v>
      </c>
      <c r="C84" s="61"/>
      <c r="D84" s="62">
        <f>INDEX('BS(AMZN)'!$C$4:$K$100,MATCH($B84,'BS(AMZN)'!$B$4:$B$100,0),MATCH(D$79,'BS(AMZN)'!$C$3:$K$3,0))</f>
        <v>25981</v>
      </c>
      <c r="E84" s="62">
        <f>INDEX('BS(AMZN)'!$C$4:$K$100,MATCH($B84,'BS(AMZN)'!$B$4:$B$100,0),MATCH(E$79,'BS(AMZN)'!$C$3:$K$3,0))</f>
        <v>30986</v>
      </c>
      <c r="F84" s="62">
        <f>INDEX('BS(AMZN)'!$C$4:$K$100,MATCH($B84,'BS(AMZN)'!$B$4:$B$100,0),MATCH(F$79,'BS(AMZN)'!$C$3:$K$3,0))</f>
        <v>41250</v>
      </c>
      <c r="G84" s="62">
        <f>INDEX('BS(AMZN)'!$C$4:$K$100,MATCH($B84,'BS(AMZN)'!$B$4:$B$100,0),MATCH(G$79,'BS(AMZN)'!$C$3:$K$3,0))</f>
        <v>55021</v>
      </c>
      <c r="H84" s="62">
        <f>INDEX('BS(AMZN)'!$C$4:$K$100,MATCH($B84,'BS(AMZN)'!$B$4:$B$100,0),MATCH(H$79,'BS(AMZN)'!$C$3:$K$3,0))</f>
        <v>84396</v>
      </c>
      <c r="I84" s="62">
        <f>INDEX('BS(AMZN)'!$C$4:$K$100,MATCH($B84,'BS(AMZN)'!$B$4:$B$100,0),MATCH(I$79,'BS(AMZN)'!$C$3:$K$3,0))</f>
        <v>96049</v>
      </c>
      <c r="J84" s="62">
        <f>INDEX('BS(AMZN)'!$C$4:$K$100,MATCH($B84,'BS(AMZN)'!$B$4:$B$100,0),MATCH(J$79,'BS(AMZN)'!$C$3:$K$3,0))</f>
        <v>70026</v>
      </c>
      <c r="K84" s="62">
        <f>INDEX('BS(AMZN)'!$C$4:$K$100,MATCH($B84,'BS(AMZN)'!$B$4:$B$100,0),MATCH(K$79,'BS(AMZN)'!$C$3:$K$3,0))</f>
        <v>86780</v>
      </c>
      <c r="L84" s="91">
        <f>L85-L83</f>
        <v>108739.05752611041</v>
      </c>
      <c r="M84" s="91">
        <f t="shared" ref="M84:P84" si="63">M85-M83</f>
        <v>124918.56238051843</v>
      </c>
      <c r="N84" s="91">
        <f t="shared" si="63"/>
        <v>142693.86124142457</v>
      </c>
      <c r="O84" s="91">
        <f t="shared" si="63"/>
        <v>162112.82786829313</v>
      </c>
      <c r="P84" s="91">
        <f t="shared" si="63"/>
        <v>183213.14219971749</v>
      </c>
    </row>
    <row r="85" spans="2:16" outlineLevel="1">
      <c r="B85" s="44" t="s">
        <v>286</v>
      </c>
      <c r="C85" s="63"/>
      <c r="D85" s="89">
        <f>INDEX('BS(AMZN)'!$C$4:$K$26,MATCH($B85,'BS(AMZN)'!$B$4:$B$26,0),MATCH(D$79,'BS(AMZN)'!$C$3:$K$3,0))</f>
        <v>45781</v>
      </c>
      <c r="E85" s="89">
        <f>INDEX('BS(AMZN)'!$C$4:$K$26,MATCH($B85,'BS(AMZN)'!$B$4:$B$26,0),MATCH(E$79,'BS(AMZN)'!$C$3:$K$3,0))</f>
        <v>60197</v>
      </c>
      <c r="F85" s="89">
        <f>INDEX('BS(AMZN)'!$C$4:$K$26,MATCH($B85,'BS(AMZN)'!$B$4:$B$26,0),MATCH(F$79,'BS(AMZN)'!$C$3:$K$3,0))</f>
        <v>75101</v>
      </c>
      <c r="G85" s="89">
        <f>INDEX('BS(AMZN)'!$C$4:$K$26,MATCH($B85,'BS(AMZN)'!$B$4:$B$26,0),MATCH(G$79,'BS(AMZN)'!$C$3:$K$3,0))</f>
        <v>96334</v>
      </c>
      <c r="H85" s="89">
        <f>INDEX('BS(AMZN)'!$C$4:$K$26,MATCH($B85,'BS(AMZN)'!$B$4:$B$26,0),MATCH(H$79,'BS(AMZN)'!$C$3:$K$3,0))</f>
        <v>132733</v>
      </c>
      <c r="I85" s="89">
        <f>INDEX('BS(AMZN)'!$C$4:$K$26,MATCH($B85,'BS(AMZN)'!$B$4:$B$26,0),MATCH(I$79,'BS(AMZN)'!$C$3:$K$3,0))</f>
        <v>161580</v>
      </c>
      <c r="J85" s="89">
        <f>INDEX('BS(AMZN)'!$C$4:$K$26,MATCH($B85,'BS(AMZN)'!$B$4:$B$26,0),MATCH(J$79,'BS(AMZN)'!$C$3:$K$3,0))</f>
        <v>146791</v>
      </c>
      <c r="K85" s="89">
        <f>INDEX('BS(AMZN)'!$C$4:$K$26,MATCH($B85,'BS(AMZN)'!$B$4:$B$26,0),MATCH(K$79,'BS(AMZN)'!$C$3:$K$3,0))</f>
        <v>172351</v>
      </c>
      <c r="L85" s="99">
        <f>L86*L96</f>
        <v>202839.44072500037</v>
      </c>
      <c r="M85" s="99">
        <f>M86*M96</f>
        <v>230618.18147188958</v>
      </c>
      <c r="N85" s="99">
        <f>N86*N96</f>
        <v>260820.02267143442</v>
      </c>
      <c r="O85" s="99">
        <f>O86*O96</f>
        <v>293483.35812793026</v>
      </c>
      <c r="P85" s="99">
        <f>P86*P96</f>
        <v>328629.91687070188</v>
      </c>
    </row>
    <row r="86" spans="2:16" outlineLevel="1">
      <c r="B86" s="37" t="s">
        <v>231</v>
      </c>
      <c r="C86" s="41"/>
      <c r="D86" s="38">
        <f>INDEX('BS(AMZN)'!$C$4:$K$26,MATCH($B86,'BS(AMZN)'!$B$4:$B$26,0),MATCH(D$79,'BS(AMZN)'!$C$3:$K$3,0))</f>
        <v>43816</v>
      </c>
      <c r="E86" s="38">
        <f>INDEX('BS(AMZN)'!$C$4:$K$26,MATCH($B86,'BS(AMZN)'!$B$4:$B$26,0),MATCH(E$79,'BS(AMZN)'!$C$3:$K$3,0))</f>
        <v>57883</v>
      </c>
      <c r="F86" s="38">
        <f>INDEX('BS(AMZN)'!$C$4:$K$26,MATCH($B86,'BS(AMZN)'!$B$4:$B$26,0),MATCH(F$79,'BS(AMZN)'!$C$3:$K$3,0))</f>
        <v>68391</v>
      </c>
      <c r="G86" s="38">
        <f>INDEX('BS(AMZN)'!$C$4:$K$26,MATCH($B86,'BS(AMZN)'!$B$4:$B$26,0),MATCH(G$79,'BS(AMZN)'!$C$3:$K$3,0))</f>
        <v>87812</v>
      </c>
      <c r="H86" s="38">
        <f>INDEX('BS(AMZN)'!$C$4:$K$26,MATCH($B86,'BS(AMZN)'!$B$4:$B$26,0),MATCH(H$79,'BS(AMZN)'!$C$3:$K$3,0))</f>
        <v>126385</v>
      </c>
      <c r="I86" s="38">
        <f>INDEX('BS(AMZN)'!$C$4:$K$26,MATCH($B86,'BS(AMZN)'!$B$4:$B$26,0),MATCH(I$79,'BS(AMZN)'!$C$3:$K$3,0))</f>
        <v>142266</v>
      </c>
      <c r="J86" s="38">
        <f>INDEX('BS(AMZN)'!$C$4:$K$26,MATCH($B86,'BS(AMZN)'!$B$4:$B$26,0),MATCH(J$79,'BS(AMZN)'!$C$3:$K$3,0))</f>
        <v>155393</v>
      </c>
      <c r="K86" s="38">
        <f>INDEX('BS(AMZN)'!$C$4:$K$26,MATCH($B86,'BS(AMZN)'!$B$4:$B$26,0),MATCH(K$79,'BS(AMZN)'!$C$3:$K$3,0))</f>
        <v>164917</v>
      </c>
      <c r="L86" s="100">
        <f>IF($C$97&gt;$C$98,L98*L90,L97*L83)</f>
        <v>196820.62140155787</v>
      </c>
      <c r="M86" s="100">
        <f>IF($C$97&gt;$C$98,M98*M90,M97*M83)</f>
        <v>223775.08842243662</v>
      </c>
      <c r="N86" s="100">
        <f>IF($C$97&gt;$C$98,N98*N90,N97*N83)</f>
        <v>253080.75565913855</v>
      </c>
      <c r="O86" s="100">
        <f>IF($C$97&gt;$C$98,O98*O90,O97*O83)</f>
        <v>284774.87766330497</v>
      </c>
      <c r="P86" s="100">
        <f>IF($C$97&gt;$C$98,P98*P90,P97*P83)</f>
        <v>318878.53870256589</v>
      </c>
    </row>
    <row r="87" spans="2:16" outlineLevel="1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2:16" outlineLevel="1">
      <c r="B88" s="112" t="s">
        <v>214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</row>
    <row r="89" spans="2:16" outlineLevel="1">
      <c r="B89" s="104" t="s">
        <v>206</v>
      </c>
      <c r="C89" s="105"/>
      <c r="D89" s="107">
        <f>D$8</f>
        <v>42735</v>
      </c>
      <c r="E89" s="107">
        <f>E$8</f>
        <v>43100</v>
      </c>
      <c r="F89" s="107">
        <f t="shared" ref="F89:P89" si="64">F$8</f>
        <v>43465</v>
      </c>
      <c r="G89" s="107">
        <f t="shared" si="64"/>
        <v>43830</v>
      </c>
      <c r="H89" s="107">
        <f t="shared" si="64"/>
        <v>44196</v>
      </c>
      <c r="I89" s="107">
        <f t="shared" si="64"/>
        <v>44561</v>
      </c>
      <c r="J89" s="107">
        <f t="shared" si="64"/>
        <v>44926</v>
      </c>
      <c r="K89" s="107">
        <f t="shared" si="64"/>
        <v>45291</v>
      </c>
      <c r="L89" s="108">
        <f t="shared" si="64"/>
        <v>45657</v>
      </c>
      <c r="M89" s="108">
        <f t="shared" si="64"/>
        <v>46022</v>
      </c>
      <c r="N89" s="108">
        <f t="shared" si="64"/>
        <v>46387</v>
      </c>
      <c r="O89" s="108">
        <f t="shared" si="64"/>
        <v>46752</v>
      </c>
      <c r="P89" s="108">
        <f t="shared" si="64"/>
        <v>47118</v>
      </c>
    </row>
    <row r="90" spans="2:16" outlineLevel="1">
      <c r="B90" s="6" t="s">
        <v>12</v>
      </c>
      <c r="C90" s="39"/>
      <c r="D90" s="72"/>
      <c r="E90" s="22">
        <f>E32</f>
        <v>177866</v>
      </c>
      <c r="F90" s="22">
        <f>F32</f>
        <v>232887</v>
      </c>
      <c r="G90" s="22">
        <f>G32</f>
        <v>280222</v>
      </c>
      <c r="H90" s="22">
        <f>H32</f>
        <v>386044</v>
      </c>
      <c r="I90" s="22">
        <f>I32</f>
        <v>469822</v>
      </c>
      <c r="J90" s="22">
        <f>J32</f>
        <v>513983</v>
      </c>
      <c r="K90" s="22">
        <f>K32</f>
        <v>574785</v>
      </c>
      <c r="L90" s="96">
        <f>L32</f>
        <v>657101.301615039</v>
      </c>
      <c r="M90" s="96">
        <f>M32</f>
        <v>747090.93399010925</v>
      </c>
      <c r="N90" s="96">
        <f>N32</f>
        <v>844930.2353235092</v>
      </c>
      <c r="O90" s="96">
        <f>O32</f>
        <v>950743.58289949014</v>
      </c>
      <c r="P90" s="96">
        <f>P32</f>
        <v>1064601.3682227868</v>
      </c>
    </row>
    <row r="91" spans="2:16" outlineLevel="1">
      <c r="B91" s="6" t="s">
        <v>207</v>
      </c>
      <c r="C91" s="39"/>
      <c r="D91" s="72"/>
      <c r="E91" s="22">
        <f>E33</f>
        <v>111934</v>
      </c>
      <c r="F91" s="22">
        <f>F33</f>
        <v>139156</v>
      </c>
      <c r="G91" s="22">
        <f>G33</f>
        <v>165536</v>
      </c>
      <c r="H91" s="22">
        <f>H33</f>
        <v>233307</v>
      </c>
      <c r="I91" s="22">
        <f>I33</f>
        <v>272344</v>
      </c>
      <c r="J91" s="22">
        <f>J33</f>
        <v>288831</v>
      </c>
      <c r="K91" s="22">
        <f>K33</f>
        <v>304739</v>
      </c>
      <c r="L91" s="96">
        <f>L33</f>
        <v>354634.52859537239</v>
      </c>
      <c r="M91" s="96">
        <f>M33</f>
        <v>391994.10007930436</v>
      </c>
      <c r="N91" s="96">
        <f>N33</f>
        <v>431006.96603089076</v>
      </c>
      <c r="O91" s="96">
        <f>O33</f>
        <v>471502.73321082455</v>
      </c>
      <c r="P91" s="96">
        <f>P33</f>
        <v>513292.83919043309</v>
      </c>
    </row>
    <row r="92" spans="2:16" outlineLevel="1">
      <c r="B92" s="66" t="s">
        <v>292</v>
      </c>
      <c r="C92" s="132">
        <v>0.5</v>
      </c>
      <c r="D92" s="77"/>
      <c r="E92" s="68">
        <f>(1-$K92)*$C92^6</f>
        <v>1.015625E-2</v>
      </c>
      <c r="F92" s="68">
        <f>(1-$K92)*$C92^5</f>
        <v>2.0312500000000001E-2</v>
      </c>
      <c r="G92" s="68">
        <f>(1-$K92)*$C92^4</f>
        <v>4.0625000000000001E-2</v>
      </c>
      <c r="H92" s="68">
        <f>(1-$K92)*$C92^3</f>
        <v>8.1250000000000003E-2</v>
      </c>
      <c r="I92" s="68">
        <f>(1-$K92)*$C92^2</f>
        <v>0.16250000000000001</v>
      </c>
      <c r="J92" s="68">
        <f>(1-$K92)*$C92^1</f>
        <v>0.32500000000000001</v>
      </c>
      <c r="K92" s="133">
        <v>0.35</v>
      </c>
      <c r="L92" s="67"/>
      <c r="M92" s="67"/>
      <c r="N92" s="67"/>
      <c r="O92" s="67"/>
      <c r="P92" s="67"/>
    </row>
    <row r="93" spans="2:16" outlineLevel="1">
      <c r="B93" s="6" t="s">
        <v>232</v>
      </c>
      <c r="C93" s="45"/>
      <c r="D93" s="81"/>
      <c r="E93" s="43">
        <f t="shared" ref="E93:K94" si="65">E80/E90*360</f>
        <v>26.643877975554631</v>
      </c>
      <c r="F93" s="43">
        <f t="shared" si="65"/>
        <v>25.779541150858574</v>
      </c>
      <c r="G93" s="43">
        <f t="shared" si="65"/>
        <v>26.742225806681844</v>
      </c>
      <c r="H93" s="43">
        <f t="shared" si="65"/>
        <v>22.886303115707019</v>
      </c>
      <c r="I93" s="43">
        <f t="shared" si="65"/>
        <v>25.202651216843826</v>
      </c>
      <c r="J93" s="43">
        <f t="shared" si="65"/>
        <v>29.669463776039287</v>
      </c>
      <c r="K93" s="43">
        <f t="shared" si="65"/>
        <v>32.727158850700697</v>
      </c>
      <c r="L93" s="101">
        <f t="shared" ref="L93:L98" si="66">SUMPRODUCT(E93:K93,E$72:K$72)/SUM(E$72:K$72)</f>
        <v>29.229538515102831</v>
      </c>
      <c r="M93" s="101">
        <f t="shared" ref="M93:M98" si="67">L93</f>
        <v>29.229538515102831</v>
      </c>
      <c r="N93" s="101">
        <f t="shared" ref="N93:P93" si="68">M93</f>
        <v>29.229538515102831</v>
      </c>
      <c r="O93" s="101">
        <f t="shared" si="68"/>
        <v>29.229538515102831</v>
      </c>
      <c r="P93" s="101">
        <f t="shared" si="68"/>
        <v>29.229538515102831</v>
      </c>
    </row>
    <row r="94" spans="2:16" outlineLevel="1">
      <c r="B94" s="6" t="s">
        <v>288</v>
      </c>
      <c r="C94" s="45"/>
      <c r="D94" s="81"/>
      <c r="E94" s="43">
        <f t="shared" si="65"/>
        <v>51.610055925813427</v>
      </c>
      <c r="F94" s="43">
        <f t="shared" si="65"/>
        <v>44.429561068153731</v>
      </c>
      <c r="G94" s="43">
        <f t="shared" si="65"/>
        <v>44.575923062052965</v>
      </c>
      <c r="H94" s="43">
        <f t="shared" si="65"/>
        <v>36.716429425606606</v>
      </c>
      <c r="I94" s="43">
        <f t="shared" si="65"/>
        <v>43.145433716182474</v>
      </c>
      <c r="J94" s="43">
        <f t="shared" si="65"/>
        <v>42.882516073413171</v>
      </c>
      <c r="K94" s="43">
        <f t="shared" si="65"/>
        <v>39.35984563839876</v>
      </c>
      <c r="L94" s="101">
        <f t="shared" si="66"/>
        <v>41.36475431713172</v>
      </c>
      <c r="M94" s="101">
        <f t="shared" si="67"/>
        <v>41.36475431713172</v>
      </c>
      <c r="N94" s="101">
        <f t="shared" ref="N94:P94" si="69">M94</f>
        <v>41.36475431713172</v>
      </c>
      <c r="O94" s="101">
        <f t="shared" si="69"/>
        <v>41.36475431713172</v>
      </c>
      <c r="P94" s="101">
        <f t="shared" si="69"/>
        <v>41.36475431713172</v>
      </c>
    </row>
    <row r="95" spans="2:16" outlineLevel="1">
      <c r="B95" s="6" t="s">
        <v>291</v>
      </c>
      <c r="C95" s="134">
        <f>_xlfn.STDEV.P(E95:K95)</f>
        <v>1.087846973286344E-2</v>
      </c>
      <c r="D95" s="82"/>
      <c r="E95" s="59">
        <f t="shared" ref="E95:K95" si="70">E83/E90</f>
        <v>0.16423037567607074</v>
      </c>
      <c r="F95" s="59">
        <f t="shared" si="70"/>
        <v>0.14535375525469435</v>
      </c>
      <c r="G95" s="59">
        <f t="shared" si="70"/>
        <v>0.1474295380091499</v>
      </c>
      <c r="H95" s="59">
        <f t="shared" si="70"/>
        <v>0.12521111583135602</v>
      </c>
      <c r="I95" s="59">
        <f t="shared" si="70"/>
        <v>0.13948048409823294</v>
      </c>
      <c r="J95" s="59">
        <f t="shared" si="70"/>
        <v>0.14935318872414069</v>
      </c>
      <c r="K95" s="59">
        <f t="shared" si="70"/>
        <v>0.14887479666310011</v>
      </c>
      <c r="L95" s="102">
        <f t="shared" si="66"/>
        <v>0.14557321282564453</v>
      </c>
      <c r="M95" s="102">
        <f t="shared" si="67"/>
        <v>0.14557321282564453</v>
      </c>
      <c r="N95" s="102">
        <f t="shared" ref="N95:P97" si="71">M95</f>
        <v>0.14557321282564453</v>
      </c>
      <c r="O95" s="102">
        <f t="shared" si="71"/>
        <v>0.14557321282564453</v>
      </c>
      <c r="P95" s="102">
        <f t="shared" si="71"/>
        <v>0.14557321282564453</v>
      </c>
    </row>
    <row r="96" spans="2:16" outlineLevel="1">
      <c r="B96" s="6" t="s">
        <v>290</v>
      </c>
      <c r="C96" s="134">
        <f>_xlfn.STDEV.P(E96:K96)</f>
        <v>5.6793989835073333E-2</v>
      </c>
      <c r="D96" s="82"/>
      <c r="E96" s="59">
        <f t="shared" ref="E96:K96" si="72">E85/E86</f>
        <v>1.039977195376881</v>
      </c>
      <c r="F96" s="59">
        <f t="shared" si="72"/>
        <v>1.0981123247210891</v>
      </c>
      <c r="G96" s="59">
        <f t="shared" si="72"/>
        <v>1.0970482394205803</v>
      </c>
      <c r="H96" s="59">
        <f t="shared" si="72"/>
        <v>1.0502274795268425</v>
      </c>
      <c r="I96" s="59">
        <f t="shared" si="72"/>
        <v>1.1357597739445826</v>
      </c>
      <c r="J96" s="59">
        <f t="shared" si="72"/>
        <v>0.9446435811136924</v>
      </c>
      <c r="K96" s="59">
        <f t="shared" si="72"/>
        <v>1.0450772206625152</v>
      </c>
      <c r="L96" s="102">
        <f t="shared" si="66"/>
        <v>1.030580227216958</v>
      </c>
      <c r="M96" s="102">
        <f t="shared" si="67"/>
        <v>1.030580227216958</v>
      </c>
      <c r="N96" s="102">
        <f t="shared" ref="N96:P96" si="73">M96</f>
        <v>1.030580227216958</v>
      </c>
      <c r="O96" s="102">
        <f t="shared" si="73"/>
        <v>1.030580227216958</v>
      </c>
      <c r="P96" s="102">
        <f t="shared" si="73"/>
        <v>1.030580227216958</v>
      </c>
    </row>
    <row r="97" spans="2:16" outlineLevel="1">
      <c r="B97" s="6" t="s">
        <v>294</v>
      </c>
      <c r="C97" s="134">
        <f>_xlfn.STDEV.P(E97:K97)</f>
        <v>4.2011996527957784E-2</v>
      </c>
      <c r="D97" s="82"/>
      <c r="E97" s="59">
        <f t="shared" ref="E97:K97" si="74">E83/E86</f>
        <v>0.50465594388680612</v>
      </c>
      <c r="F97" s="59">
        <f t="shared" si="74"/>
        <v>0.49496278750127942</v>
      </c>
      <c r="G97" s="59">
        <f t="shared" si="74"/>
        <v>0.47047100624060495</v>
      </c>
      <c r="H97" s="59">
        <f t="shared" si="74"/>
        <v>0.38245836135617362</v>
      </c>
      <c r="I97" s="59">
        <f t="shared" si="74"/>
        <v>0.46062305821489324</v>
      </c>
      <c r="J97" s="59">
        <f t="shared" si="74"/>
        <v>0.49400552148423676</v>
      </c>
      <c r="K97" s="59">
        <f t="shared" si="74"/>
        <v>0.5188731301199998</v>
      </c>
      <c r="L97" s="102">
        <f t="shared" si="66"/>
        <v>0.48732500157144082</v>
      </c>
      <c r="M97" s="102">
        <f t="shared" si="67"/>
        <v>0.48732500157144082</v>
      </c>
      <c r="N97" s="102">
        <f t="shared" si="71"/>
        <v>0.48732500157144082</v>
      </c>
      <c r="O97" s="102">
        <f t="shared" si="71"/>
        <v>0.48732500157144082</v>
      </c>
      <c r="P97" s="102">
        <f t="shared" si="71"/>
        <v>0.48732500157144082</v>
      </c>
    </row>
    <row r="98" spans="2:16" outlineLevel="1">
      <c r="B98" s="25" t="s">
        <v>289</v>
      </c>
      <c r="C98" s="135">
        <f t="shared" ref="C98" si="75">_xlfn.STDEV.P(E98:K98)</f>
        <v>1.4217373045208224E-2</v>
      </c>
      <c r="D98" s="80"/>
      <c r="E98" s="60">
        <f t="shared" ref="E98:K98" si="76">E86/E90</f>
        <v>0.32543038017383874</v>
      </c>
      <c r="F98" s="60">
        <f t="shared" si="76"/>
        <v>0.29366602687140114</v>
      </c>
      <c r="G98" s="60">
        <f t="shared" si="76"/>
        <v>0.31336583137655144</v>
      </c>
      <c r="H98" s="60">
        <f t="shared" si="76"/>
        <v>0.3273849612997482</v>
      </c>
      <c r="I98" s="60">
        <f t="shared" si="76"/>
        <v>0.30280829761058442</v>
      </c>
      <c r="J98" s="60">
        <f t="shared" si="76"/>
        <v>0.30233101094783288</v>
      </c>
      <c r="K98" s="60">
        <f t="shared" si="76"/>
        <v>0.28691945684038378</v>
      </c>
      <c r="L98" s="103">
        <f t="shared" si="66"/>
        <v>0.29952858245419317</v>
      </c>
      <c r="M98" s="103">
        <f t="shared" si="67"/>
        <v>0.29952858245419317</v>
      </c>
      <c r="N98" s="103">
        <f t="shared" ref="N98:P98" si="77">M98</f>
        <v>0.29952858245419317</v>
      </c>
      <c r="O98" s="103">
        <f t="shared" si="77"/>
        <v>0.29952858245419317</v>
      </c>
      <c r="P98" s="103">
        <f t="shared" si="77"/>
        <v>0.29952858245419317</v>
      </c>
    </row>
    <row r="99" spans="2:16" outlineLevel="1"/>
    <row r="101" spans="2:16" ht="26">
      <c r="B101" s="49" t="s">
        <v>331</v>
      </c>
    </row>
    <row r="102" spans="2:16">
      <c r="B102" s="113" t="s">
        <v>332</v>
      </c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</row>
    <row r="103" spans="2:16">
      <c r="B103" s="109" t="s">
        <v>206</v>
      </c>
      <c r="C103" s="110"/>
      <c r="D103" s="107">
        <f>D$8</f>
        <v>42735</v>
      </c>
      <c r="E103" s="107">
        <f>E$8</f>
        <v>43100</v>
      </c>
      <c r="F103" s="107">
        <f t="shared" ref="F103:P103" si="78">F$8</f>
        <v>43465</v>
      </c>
      <c r="G103" s="107">
        <f t="shared" si="78"/>
        <v>43830</v>
      </c>
      <c r="H103" s="107">
        <f t="shared" si="78"/>
        <v>44196</v>
      </c>
      <c r="I103" s="107">
        <f t="shared" si="78"/>
        <v>44561</v>
      </c>
      <c r="J103" s="107">
        <f t="shared" si="78"/>
        <v>44926</v>
      </c>
      <c r="K103" s="107">
        <f t="shared" si="78"/>
        <v>45291</v>
      </c>
      <c r="L103" s="108">
        <f t="shared" si="78"/>
        <v>45657</v>
      </c>
      <c r="M103" s="108">
        <f t="shared" si="78"/>
        <v>46022</v>
      </c>
      <c r="N103" s="108">
        <f t="shared" si="78"/>
        <v>46387</v>
      </c>
      <c r="O103" s="108">
        <f t="shared" si="78"/>
        <v>46752</v>
      </c>
      <c r="P103" s="108">
        <f t="shared" si="78"/>
        <v>47118</v>
      </c>
    </row>
    <row r="104" spans="2:16">
      <c r="B104" s="66" t="s">
        <v>292</v>
      </c>
      <c r="C104" s="201">
        <v>0.5</v>
      </c>
      <c r="D104" s="68">
        <f>(1-$K104)*$C104^6</f>
        <v>1.015625E-2</v>
      </c>
      <c r="E104" s="68">
        <f>(1-$K104)*$C104^6</f>
        <v>1.015625E-2</v>
      </c>
      <c r="F104" s="68">
        <f>(1-$K104)*$C104^5</f>
        <v>2.0312500000000001E-2</v>
      </c>
      <c r="G104" s="68">
        <f>(1-$K104)*$C104^4</f>
        <v>4.0625000000000001E-2</v>
      </c>
      <c r="H104" s="68">
        <f>(1-$K104)*$C104^3</f>
        <v>8.1250000000000003E-2</v>
      </c>
      <c r="I104" s="68">
        <f>(1-$K104)*$C104^2</f>
        <v>0.16250000000000001</v>
      </c>
      <c r="J104" s="68">
        <f>(1-$K104)*$C104^1</f>
        <v>0.32500000000000001</v>
      </c>
      <c r="K104" s="133">
        <v>0.35</v>
      </c>
    </row>
    <row r="105" spans="2:16">
      <c r="B105" s="1" t="s">
        <v>333</v>
      </c>
      <c r="C105" s="4"/>
      <c r="D105" s="200">
        <v>116.96</v>
      </c>
      <c r="E105" s="200">
        <v>112.69</v>
      </c>
      <c r="F105" s="200">
        <v>110.27500000000001</v>
      </c>
      <c r="G105" s="200">
        <v>108.877</v>
      </c>
      <c r="H105" s="200">
        <v>103.202</v>
      </c>
      <c r="I105" s="200">
        <v>115.063</v>
      </c>
      <c r="J105" s="200">
        <v>131.11500000000001</v>
      </c>
      <c r="K105" s="200">
        <v>141.02500000000001</v>
      </c>
      <c r="L105" s="200">
        <f>SUMPRODUCT(D105:K105,D$104:K$104)/SUM(D$104:K$104)</f>
        <v>128.04949687499999</v>
      </c>
      <c r="M105" s="200">
        <f>L105</f>
        <v>128.04949687499999</v>
      </c>
      <c r="N105" s="200">
        <f>M105</f>
        <v>128.04949687499999</v>
      </c>
      <c r="O105" s="200">
        <f>N105</f>
        <v>128.04949687499999</v>
      </c>
      <c r="P105" s="200">
        <f>O105</f>
        <v>128.04949687499999</v>
      </c>
    </row>
    <row r="106" spans="2:16">
      <c r="B106" s="1" t="s">
        <v>334</v>
      </c>
      <c r="C106" s="4"/>
      <c r="D106" s="202">
        <v>8.5470000000000008E-3</v>
      </c>
      <c r="E106" s="202">
        <v>8.8500000000000002E-3</v>
      </c>
      <c r="F106" s="202">
        <v>9.0910000000000001E-3</v>
      </c>
      <c r="G106" s="202">
        <v>9.1739999999999999E-3</v>
      </c>
      <c r="H106" s="202">
        <v>9.7090000000000006E-3</v>
      </c>
      <c r="I106" s="202">
        <v>8.6960000000000006E-3</v>
      </c>
      <c r="J106" s="202">
        <v>7.6340000000000002E-3</v>
      </c>
      <c r="K106" s="202">
        <v>7.0920000000000002E-3</v>
      </c>
      <c r="L106" s="202">
        <v>7.8130000000000005E-3</v>
      </c>
      <c r="M106" s="202">
        <v>7.8130000000000005E-3</v>
      </c>
      <c r="N106" s="202">
        <v>7.8130000000000005E-3</v>
      </c>
      <c r="O106" s="202">
        <v>7.8130000000000005E-3</v>
      </c>
      <c r="P106" s="202">
        <v>7.8130000000000005E-3</v>
      </c>
    </row>
  </sheetData>
  <mergeCells count="5">
    <mergeCell ref="L15:P15"/>
    <mergeCell ref="B13:C13"/>
    <mergeCell ref="J13:P13"/>
    <mergeCell ref="J17:J21"/>
    <mergeCell ref="E13:H13"/>
  </mergeCells>
  <phoneticPr fontId="2"/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6C67-A00E-43C5-B344-B671B6C78FDE}">
  <sheetPr>
    <tabColor theme="3" tint="0.89999084444715716"/>
  </sheetPr>
  <dimension ref="A1:S106"/>
  <sheetViews>
    <sheetView showGridLines="0" tabSelected="1" zoomScale="70" zoomScaleNormal="70" workbookViewId="0">
      <selection activeCell="U22" sqref="U22"/>
    </sheetView>
  </sheetViews>
  <sheetFormatPr defaultRowHeight="14.5" outlineLevelRow="1"/>
  <cols>
    <col min="1" max="1" width="3" style="1" customWidth="1"/>
    <col min="2" max="2" width="37.9140625" style="1" customWidth="1"/>
    <col min="3" max="3" width="12.83203125" style="1" bestFit="1" customWidth="1"/>
    <col min="4" max="8" width="8.6640625" style="1"/>
    <col min="9" max="9" width="9.33203125" style="1" bestFit="1" customWidth="1"/>
    <col min="10" max="16" width="8.6640625" style="1"/>
    <col min="17" max="17" width="3.83203125" style="1" customWidth="1"/>
    <col min="18" max="16384" width="8.6640625" style="1"/>
  </cols>
  <sheetData>
    <row r="1" spans="2:16" ht="18.5">
      <c r="B1" s="182" t="s">
        <v>317</v>
      </c>
      <c r="C1" s="183" t="s">
        <v>320</v>
      </c>
    </row>
    <row r="2" spans="2:16" ht="18.5">
      <c r="B2" s="182" t="s">
        <v>319</v>
      </c>
      <c r="C2" s="183" t="s">
        <v>324</v>
      </c>
    </row>
    <row r="3" spans="2:16" ht="18.5">
      <c r="B3" s="182" t="s">
        <v>318</v>
      </c>
      <c r="C3" s="184">
        <v>45375</v>
      </c>
    </row>
    <row r="4" spans="2:16" ht="18.5">
      <c r="B4" s="182"/>
      <c r="C4" s="185"/>
    </row>
    <row r="6" spans="2:16" ht="26">
      <c r="B6" s="21" t="s">
        <v>228</v>
      </c>
    </row>
    <row r="7" spans="2:16" outlineLevel="1">
      <c r="B7" s="112" t="s">
        <v>205</v>
      </c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</row>
    <row r="8" spans="2:16" outlineLevel="1">
      <c r="B8" s="104" t="s">
        <v>206</v>
      </c>
      <c r="C8" s="105"/>
      <c r="D8" s="106">
        <v>42735</v>
      </c>
      <c r="E8" s="107">
        <v>43100</v>
      </c>
      <c r="F8" s="107">
        <v>43465</v>
      </c>
      <c r="G8" s="107">
        <v>43830</v>
      </c>
      <c r="H8" s="107">
        <v>44196</v>
      </c>
      <c r="I8" s="107">
        <v>44561</v>
      </c>
      <c r="J8" s="107">
        <v>44926</v>
      </c>
      <c r="K8" s="108">
        <v>45291</v>
      </c>
      <c r="L8" s="108">
        <v>45657</v>
      </c>
      <c r="M8" s="108">
        <v>46022</v>
      </c>
      <c r="N8" s="108">
        <v>46387</v>
      </c>
      <c r="O8" s="108">
        <v>46752</v>
      </c>
      <c r="P8" s="108">
        <v>47118</v>
      </c>
    </row>
    <row r="9" spans="2:16" outlineLevel="1">
      <c r="B9" s="6" t="s">
        <v>213</v>
      </c>
      <c r="C9" s="39"/>
      <c r="D9" s="72"/>
      <c r="E9" s="87">
        <f>E51</f>
        <v>104.8309999999999</v>
      </c>
      <c r="F9" s="1">
        <f t="shared" ref="F9:P9" si="0">F51</f>
        <v>469.90399999999988</v>
      </c>
      <c r="G9" s="22">
        <f t="shared" si="0"/>
        <v>550.59500000000037</v>
      </c>
      <c r="H9" s="22">
        <f t="shared" si="0"/>
        <v>378.32099999999991</v>
      </c>
      <c r="I9" s="22">
        <f t="shared" si="0"/>
        <v>411.76899999999921</v>
      </c>
      <c r="J9" s="22">
        <f t="shared" si="0"/>
        <v>645.62110000000098</v>
      </c>
      <c r="K9" s="96">
        <f t="shared" si="0"/>
        <v>771.83071362850433</v>
      </c>
      <c r="L9" s="96">
        <f t="shared" si="0"/>
        <v>506.22527193875294</v>
      </c>
      <c r="M9" s="96">
        <f t="shared" si="0"/>
        <v>530.26324256510793</v>
      </c>
      <c r="N9" s="96">
        <f t="shared" si="0"/>
        <v>565.06441580578178</v>
      </c>
      <c r="O9" s="96">
        <f t="shared" si="0"/>
        <v>608.77561702233822</v>
      </c>
      <c r="P9" s="96">
        <f t="shared" si="0"/>
        <v>663.87278058080801</v>
      </c>
    </row>
    <row r="10" spans="2:16" outlineLevel="1">
      <c r="B10" s="25" t="s">
        <v>218</v>
      </c>
      <c r="C10" s="30"/>
      <c r="D10" s="74"/>
      <c r="E10" s="3"/>
      <c r="F10" s="3"/>
      <c r="G10" s="25"/>
      <c r="H10" s="25"/>
      <c r="I10" s="25"/>
      <c r="J10" s="25"/>
      <c r="K10" s="111"/>
      <c r="L10" s="111">
        <v>1</v>
      </c>
      <c r="M10" s="111">
        <f>L10+1</f>
        <v>2</v>
      </c>
      <c r="N10" s="111">
        <f t="shared" ref="N10:P10" si="1">M10+1</f>
        <v>3</v>
      </c>
      <c r="O10" s="111">
        <f t="shared" si="1"/>
        <v>4</v>
      </c>
      <c r="P10" s="111">
        <f t="shared" si="1"/>
        <v>5</v>
      </c>
    </row>
    <row r="11" spans="2:16" outlineLevel="1">
      <c r="B11" s="37" t="s">
        <v>219</v>
      </c>
      <c r="C11" s="42"/>
      <c r="D11" s="75"/>
      <c r="E11" s="37"/>
      <c r="F11" s="37"/>
      <c r="G11" s="37"/>
      <c r="H11" s="37"/>
      <c r="I11" s="37"/>
      <c r="J11" s="37"/>
      <c r="K11" s="150"/>
      <c r="L11" s="100">
        <f>L9/(1+$C$16)^L10</f>
        <v>486.89254680800371</v>
      </c>
      <c r="M11" s="100">
        <f t="shared" ref="M11:P11" si="2">M9/(1+$C$16)^M10</f>
        <v>490.53514864255391</v>
      </c>
      <c r="N11" s="100">
        <f t="shared" si="2"/>
        <v>502.76596666067002</v>
      </c>
      <c r="O11" s="100">
        <f t="shared" si="2"/>
        <v>520.97210064506567</v>
      </c>
      <c r="P11" s="100">
        <f t="shared" si="2"/>
        <v>546.4260350185483</v>
      </c>
    </row>
    <row r="12" spans="2:16" outlineLevel="1">
      <c r="B12" s="6"/>
      <c r="C12" s="6"/>
      <c r="D12" s="6"/>
      <c r="E12" s="6"/>
      <c r="I12" s="6"/>
      <c r="J12" s="6"/>
      <c r="K12" s="6"/>
      <c r="L12" s="6"/>
      <c r="M12" s="6"/>
      <c r="N12" s="6"/>
      <c r="O12" s="6"/>
      <c r="P12" s="6"/>
    </row>
    <row r="13" spans="2:16" ht="18" customHeight="1" outlineLevel="1">
      <c r="B13" s="119" t="s">
        <v>220</v>
      </c>
      <c r="C13" s="120"/>
      <c r="D13" s="5"/>
      <c r="E13" s="119" t="s">
        <v>233</v>
      </c>
      <c r="F13" s="119"/>
      <c r="G13" s="119"/>
      <c r="H13" s="119"/>
      <c r="I13" s="6"/>
      <c r="J13" s="119" t="s">
        <v>0</v>
      </c>
      <c r="K13" s="119"/>
      <c r="L13" s="119"/>
      <c r="M13" s="119"/>
      <c r="N13" s="119"/>
      <c r="O13" s="119"/>
      <c r="P13" s="119"/>
    </row>
    <row r="14" spans="2:16" outlineLevel="1">
      <c r="B14" s="6" t="s">
        <v>221</v>
      </c>
      <c r="C14" s="122">
        <f>SUM(L11:P11)</f>
        <v>2547.5917977748418</v>
      </c>
      <c r="D14" s="116" t="s">
        <v>127</v>
      </c>
      <c r="E14" s="6" t="s">
        <v>234</v>
      </c>
      <c r="H14" s="22">
        <f>INDEX('BS(MTX)'!$C$4:$K$100,MATCH($D14,'BS(MTX)'!$B$4:$B$100,0),MATCH(J$8,'BS(MTX)'!$C$3:$K$3,0))</f>
        <v>3273.5349999999999</v>
      </c>
      <c r="I14" s="6"/>
      <c r="J14" s="6"/>
      <c r="K14" s="6"/>
      <c r="L14" s="6"/>
      <c r="M14" s="6"/>
      <c r="N14" s="6"/>
      <c r="O14" s="6"/>
      <c r="P14" s="6"/>
    </row>
    <row r="15" spans="2:16" outlineLevel="1">
      <c r="B15" s="6" t="s">
        <v>1</v>
      </c>
      <c r="C15" s="161">
        <v>1.2E-2</v>
      </c>
      <c r="D15" s="117" t="s">
        <v>40</v>
      </c>
      <c r="E15" s="6" t="s">
        <v>235</v>
      </c>
      <c r="H15" s="22">
        <f>INDEX('BS(MTX)'!$C$4:$K$100,MATCH($D15,'BS(MTX)'!$B$4:$B$100,0),MATCH(J$8,'BS(MTX)'!$C$3:$K$3,0))</f>
        <v>1696.296</v>
      </c>
      <c r="I15" s="6"/>
      <c r="J15" s="6"/>
      <c r="K15" s="6"/>
      <c r="L15" s="148" t="s">
        <v>1</v>
      </c>
      <c r="M15" s="139"/>
      <c r="N15" s="139"/>
      <c r="O15" s="139"/>
      <c r="P15" s="140"/>
    </row>
    <row r="16" spans="2:16" outlineLevel="1">
      <c r="B16" s="6" t="s">
        <v>2</v>
      </c>
      <c r="C16" s="137">
        <f>H26</f>
        <v>3.9706348469475933E-2</v>
      </c>
      <c r="D16" s="118" t="s">
        <v>301</v>
      </c>
      <c r="E16" s="6" t="s">
        <v>236</v>
      </c>
      <c r="H16" s="59">
        <f>INDEX('PL(MTX)'!$C$4:$K$100,MATCH($D16,'PL(MTX)'!$B$4:$B$100,0),MATCH(J$8,'PL(MTX)'!$C$3:$K$3,0))/H15</f>
        <v>-2.7950310559006208E-2</v>
      </c>
      <c r="I16" s="6"/>
      <c r="J16" s="6"/>
      <c r="K16" s="7"/>
      <c r="L16" s="149">
        <f>M16-0.01</f>
        <v>-8.0000000000000002E-3</v>
      </c>
      <c r="M16" s="144">
        <f>N16-0.01</f>
        <v>2E-3</v>
      </c>
      <c r="N16" s="144">
        <f>C15</f>
        <v>1.2E-2</v>
      </c>
      <c r="O16" s="144">
        <f>N16+0.01</f>
        <v>2.1999999999999999E-2</v>
      </c>
      <c r="P16" s="147">
        <f>O16+0.01</f>
        <v>3.2000000000000001E-2</v>
      </c>
    </row>
    <row r="17" spans="1:16" outlineLevel="1">
      <c r="B17" s="6" t="s">
        <v>222</v>
      </c>
      <c r="C17" s="122">
        <f>P9*(1+C15)/(C16-C15)</f>
        <v>24248.567243999787</v>
      </c>
      <c r="D17" s="22"/>
      <c r="E17" s="6" t="s">
        <v>237</v>
      </c>
      <c r="H17" s="23">
        <f>K43/K42</f>
        <v>0.23923892728431698</v>
      </c>
      <c r="I17" s="6"/>
      <c r="J17" s="145" t="s">
        <v>2</v>
      </c>
      <c r="K17" s="146">
        <f>K18-0.01</f>
        <v>1.9706348469475929E-2</v>
      </c>
      <c r="L17" s="153">
        <f t="shared" ref="L17:P21" si="3">((($P$9*(1+L$16)/($K17-L$16))/(1+$K17)^$P$10)+$C$14+$C$20-$C$21-$C$22)/$C$24</f>
        <v>218.82936918007587</v>
      </c>
      <c r="M17" s="154">
        <f t="shared" si="3"/>
        <v>332.613942578278</v>
      </c>
      <c r="N17" s="154">
        <f t="shared" si="3"/>
        <v>741.69939381477514</v>
      </c>
      <c r="O17" s="154">
        <f t="shared" si="3"/>
        <v>-2416.3259020902206</v>
      </c>
      <c r="P17" s="155">
        <f t="shared" si="3"/>
        <v>-436.69899097780905</v>
      </c>
    </row>
    <row r="18" spans="1:16" outlineLevel="1">
      <c r="B18" s="6" t="s">
        <v>223</v>
      </c>
      <c r="C18" s="122">
        <f>C17/(1+C16)^P10</f>
        <v>19958.716250464837</v>
      </c>
      <c r="D18" s="22"/>
      <c r="E18" s="25" t="s">
        <v>238</v>
      </c>
      <c r="G18" s="3"/>
      <c r="H18" s="35">
        <f>H15/SUM(H14:H15)</f>
        <v>0.34131864846108451</v>
      </c>
      <c r="I18" s="22"/>
      <c r="J18" s="142"/>
      <c r="K18" s="141">
        <f>K19-0.01</f>
        <v>2.9706348469475931E-2</v>
      </c>
      <c r="L18" s="186">
        <f t="shared" si="3"/>
        <v>159.990990241661</v>
      </c>
      <c r="M18" s="156">
        <f>((($P$9*(1+M$16)/($K18-M$16))/(1+$K18)^$P$10)+$C$14+$C$20-$C$21-$C$22)/$C$24</f>
        <v>211.37699433416614</v>
      </c>
      <c r="N18" s="156">
        <f t="shared" si="3"/>
        <v>320.8054617624515</v>
      </c>
      <c r="O18" s="156">
        <f t="shared" si="3"/>
        <v>714.229566973587</v>
      </c>
      <c r="P18" s="157">
        <f t="shared" si="3"/>
        <v>-2322.8945168092982</v>
      </c>
    </row>
    <row r="19" spans="1:16" outlineLevel="1">
      <c r="B19" s="6" t="s">
        <v>224</v>
      </c>
      <c r="C19" s="122">
        <f>SUM(C14,C18)</f>
        <v>22506.30804823968</v>
      </c>
      <c r="D19" s="22"/>
      <c r="E19" s="37" t="s">
        <v>239</v>
      </c>
      <c r="F19" s="46"/>
      <c r="G19" s="46"/>
      <c r="H19" s="47">
        <f>H16*(1-H17)</f>
        <v>-2.1263508243606045E-2</v>
      </c>
      <c r="I19" s="6"/>
      <c r="J19" s="142"/>
      <c r="K19" s="141">
        <f>H26</f>
        <v>3.9706348469475933E-2</v>
      </c>
      <c r="L19" s="186">
        <f t="shared" si="3"/>
        <v>126.12637248568596</v>
      </c>
      <c r="M19" s="156">
        <f t="shared" si="3"/>
        <v>154.83806149174254</v>
      </c>
      <c r="N19" s="187">
        <f t="shared" si="3"/>
        <v>204.27546181821231</v>
      </c>
      <c r="O19" s="156">
        <f t="shared" si="3"/>
        <v>309.55430275757317</v>
      </c>
      <c r="P19" s="157">
        <f t="shared" si="3"/>
        <v>688.05940995354001</v>
      </c>
    </row>
    <row r="20" spans="1:16" outlineLevel="1">
      <c r="B20" s="20" t="s">
        <v>302</v>
      </c>
      <c r="C20" s="122">
        <f>K84</f>
        <v>1660.2887517636755</v>
      </c>
      <c r="D20" s="22"/>
      <c r="E20" s="6" t="s">
        <v>311</v>
      </c>
      <c r="H20" s="152">
        <v>2.325E-2</v>
      </c>
      <c r="I20" s="6"/>
      <c r="J20" s="142"/>
      <c r="K20" s="141">
        <f>K19+0.01</f>
        <v>4.9706348469475935E-2</v>
      </c>
      <c r="L20" s="186">
        <f t="shared" si="3"/>
        <v>104.2357229323185</v>
      </c>
      <c r="M20" s="156">
        <f t="shared" si="3"/>
        <v>122.29170489408897</v>
      </c>
      <c r="N20" s="156">
        <f t="shared" si="3"/>
        <v>149.9248443875081</v>
      </c>
      <c r="O20" s="156">
        <f t="shared" si="3"/>
        <v>197.50513752613779</v>
      </c>
      <c r="P20" s="157">
        <f t="shared" si="3"/>
        <v>298.82919745062253</v>
      </c>
    </row>
    <row r="21" spans="1:16" outlineLevel="1">
      <c r="B21" s="20" t="s">
        <v>303</v>
      </c>
      <c r="C21" s="122">
        <f>H15</f>
        <v>1696.296</v>
      </c>
      <c r="D21" s="22"/>
      <c r="E21" s="6" t="s">
        <v>241</v>
      </c>
      <c r="H21" s="152">
        <v>6.2E-2</v>
      </c>
      <c r="I21" s="6"/>
      <c r="J21" s="143"/>
      <c r="K21" s="147">
        <f>K20+0.01</f>
        <v>5.9706348469475937E-2</v>
      </c>
      <c r="L21" s="188">
        <f t="shared" si="3"/>
        <v>89.000399270716358</v>
      </c>
      <c r="M21" s="158">
        <f t="shared" si="3"/>
        <v>101.24929807957932</v>
      </c>
      <c r="N21" s="158">
        <f t="shared" si="3"/>
        <v>118.63332007511848</v>
      </c>
      <c r="O21" s="158">
        <f t="shared" si="3"/>
        <v>145.23808218534248</v>
      </c>
      <c r="P21" s="159">
        <f t="shared" si="3"/>
        <v>191.04765732932631</v>
      </c>
    </row>
    <row r="22" spans="1:16" outlineLevel="1">
      <c r="B22" s="27" t="s">
        <v>304</v>
      </c>
      <c r="C22" s="136"/>
      <c r="D22" s="22"/>
      <c r="E22" s="6" t="s">
        <v>242</v>
      </c>
      <c r="H22" s="23">
        <f>H21-H20</f>
        <v>3.875E-2</v>
      </c>
      <c r="I22" s="6"/>
      <c r="J22" s="6"/>
      <c r="K22" s="6"/>
      <c r="L22" s="6"/>
      <c r="M22" s="6"/>
      <c r="N22" s="6"/>
      <c r="O22" s="6"/>
      <c r="P22" s="6"/>
    </row>
    <row r="23" spans="1:16" outlineLevel="1">
      <c r="B23" s="44" t="s">
        <v>225</v>
      </c>
      <c r="C23" s="123">
        <f>C19+C20-C21-C22</f>
        <v>22470.300800003355</v>
      </c>
      <c r="D23" s="22"/>
      <c r="E23" s="6" t="s">
        <v>243</v>
      </c>
      <c r="H23" s="160">
        <v>1.24</v>
      </c>
      <c r="I23" s="6"/>
      <c r="J23" s="6"/>
      <c r="K23" s="6"/>
      <c r="L23" s="6"/>
      <c r="M23" s="6"/>
      <c r="N23" s="6"/>
      <c r="O23" s="6"/>
      <c r="P23" s="6"/>
    </row>
    <row r="24" spans="1:16" outlineLevel="1">
      <c r="A24" s="121" t="s">
        <v>27</v>
      </c>
      <c r="B24" s="44" t="s">
        <v>226</v>
      </c>
      <c r="C24" s="123">
        <f>INDEX('PL(MTX)'!$C$4:$K$100,MATCH($A24,'PL(MTX)'!$B$4:$B$100,0),MATCH(J$8,'PL(MTX)'!$C$3:$K$3,0))</f>
        <v>110</v>
      </c>
      <c r="D24" s="71"/>
      <c r="E24" s="25" t="s">
        <v>244</v>
      </c>
      <c r="F24" s="3"/>
      <c r="G24" s="3"/>
      <c r="H24" s="35">
        <f>H14/SUM(H14:H15)</f>
        <v>0.65868135153891549</v>
      </c>
      <c r="I24" s="6"/>
      <c r="J24" s="6"/>
      <c r="K24" s="6"/>
      <c r="L24" s="6"/>
      <c r="M24" s="6"/>
      <c r="N24" s="6"/>
      <c r="O24" s="6"/>
      <c r="P24" s="6"/>
    </row>
    <row r="25" spans="1:16" outlineLevel="1">
      <c r="C25" s="124"/>
      <c r="E25" s="37" t="s">
        <v>245</v>
      </c>
      <c r="F25" s="46"/>
      <c r="G25" s="46"/>
      <c r="H25" s="47">
        <f>H20+H23*H22</f>
        <v>7.1300000000000002E-2</v>
      </c>
      <c r="I25" s="6"/>
      <c r="J25" s="6"/>
      <c r="K25" s="6"/>
      <c r="L25" s="6"/>
      <c r="M25" s="6"/>
      <c r="N25" s="6"/>
      <c r="O25" s="6"/>
      <c r="P25" s="6"/>
    </row>
    <row r="26" spans="1:16" outlineLevel="1">
      <c r="B26" s="28" t="s">
        <v>227</v>
      </c>
      <c r="C26" s="138">
        <f>C23/C24</f>
        <v>204.27546181821231</v>
      </c>
      <c r="D26" s="24"/>
      <c r="E26" s="28" t="s">
        <v>2</v>
      </c>
      <c r="F26" s="48"/>
      <c r="G26" s="48"/>
      <c r="H26" s="48">
        <f>H18*H19+H24*H25</f>
        <v>3.9706348469475933E-2</v>
      </c>
      <c r="I26" s="6"/>
      <c r="J26" s="6"/>
      <c r="K26" s="6"/>
      <c r="L26" s="6"/>
      <c r="M26" s="6"/>
      <c r="N26" s="6"/>
      <c r="O26" s="6"/>
      <c r="P26" s="6"/>
    </row>
    <row r="27" spans="1:16" outlineLevel="1">
      <c r="B27" s="26" t="str">
        <f>_xlfn.CONCAT("Trading Share Price as of "&amp;Presentation!$D$3," :")</f>
        <v>Trading Share Price as of 2024/3/24 :</v>
      </c>
      <c r="C27" s="24">
        <v>249.86</v>
      </c>
      <c r="D27" s="24"/>
      <c r="E27" s="24"/>
      <c r="I27" s="6"/>
      <c r="J27" s="6"/>
      <c r="K27" s="6"/>
      <c r="L27" s="6"/>
      <c r="M27" s="6"/>
      <c r="N27" s="6"/>
      <c r="O27" s="6"/>
      <c r="P27" s="6"/>
    </row>
    <row r="28" spans="1:16" outlineLevel="1">
      <c r="B28" s="26"/>
      <c r="C28" s="24"/>
      <c r="D28" s="24"/>
      <c r="E28" s="24"/>
      <c r="I28" s="6"/>
      <c r="J28" s="6"/>
      <c r="K28" s="6"/>
      <c r="L28" s="6"/>
      <c r="M28" s="6"/>
      <c r="N28" s="6"/>
      <c r="O28" s="6"/>
      <c r="P28" s="6"/>
    </row>
    <row r="29" spans="1:16" ht="26">
      <c r="B29" s="49" t="s">
        <v>246</v>
      </c>
    </row>
    <row r="30" spans="1:16" outlineLevel="1">
      <c r="B30" s="113" t="s">
        <v>205</v>
      </c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</row>
    <row r="31" spans="1:16" outlineLevel="1">
      <c r="B31" s="109" t="s">
        <v>206</v>
      </c>
      <c r="C31" s="110"/>
      <c r="D31" s="107">
        <f>D$8</f>
        <v>42735</v>
      </c>
      <c r="E31" s="107">
        <f>E$8</f>
        <v>43100</v>
      </c>
      <c r="F31" s="107">
        <f t="shared" ref="F31:P31" si="4">F$8</f>
        <v>43465</v>
      </c>
      <c r="G31" s="107">
        <f t="shared" si="4"/>
        <v>43830</v>
      </c>
      <c r="H31" s="107">
        <f t="shared" si="4"/>
        <v>44196</v>
      </c>
      <c r="I31" s="107">
        <f t="shared" si="4"/>
        <v>44561</v>
      </c>
      <c r="J31" s="107">
        <f t="shared" si="4"/>
        <v>44926</v>
      </c>
      <c r="K31" s="108">
        <f t="shared" si="4"/>
        <v>45291</v>
      </c>
      <c r="L31" s="108">
        <f t="shared" si="4"/>
        <v>45657</v>
      </c>
      <c r="M31" s="108">
        <f t="shared" si="4"/>
        <v>46022</v>
      </c>
      <c r="N31" s="108">
        <f t="shared" si="4"/>
        <v>46387</v>
      </c>
      <c r="O31" s="108">
        <f t="shared" si="4"/>
        <v>46752</v>
      </c>
      <c r="P31" s="108">
        <f t="shared" si="4"/>
        <v>47118</v>
      </c>
    </row>
    <row r="32" spans="1:16" outlineLevel="1">
      <c r="B32" s="6" t="s">
        <v>12</v>
      </c>
      <c r="C32" s="29"/>
      <c r="D32" s="73"/>
      <c r="E32" s="50">
        <f>INDEX('PL(MTX)'!$C$4:$K$100,MATCH($B32,'PL(MTX)'!$B$4:$B$100,0),MATCH(E$31,'PL(MTX)'!$C$3:$K$3,0))</f>
        <v>5692.53</v>
      </c>
      <c r="F32" s="50">
        <f>INDEX('PL(MTX)'!$C$4:$K$100,MATCH($B32,'PL(MTX)'!$B$4:$B$100,0),MATCH(F$31,'PL(MTX)'!$C$3:$K$3,0))</f>
        <v>5393.7449999999999</v>
      </c>
      <c r="G32" s="50">
        <f>INDEX('PL(MTX)'!$C$4:$K$100,MATCH($B32,'PL(MTX)'!$B$4:$B$100,0),MATCH(G$31,'PL(MTX)'!$C$3:$K$3,0))</f>
        <v>5183.808</v>
      </c>
      <c r="H32" s="50">
        <f>INDEX('PL(MTX)'!$C$4:$K$100,MATCH($B32,'PL(MTX)'!$B$4:$B$100,0),MATCH(H$31,'PL(MTX)'!$C$3:$K$3,0))</f>
        <v>4542.9269999999997</v>
      </c>
      <c r="I32" s="50">
        <f>INDEX('PL(MTX)'!$C$4:$K$100,MATCH($B32,'PL(MTX)'!$B$4:$B$100,0),MATCH(I$31,'PL(MTX)'!$C$3:$K$3,0))</f>
        <v>4954.8230000000003</v>
      </c>
      <c r="J32" s="50">
        <f>INDEX('PL(MTX)'!$C$4:$K$100,MATCH($B32,'PL(MTX)'!$B$4:$B$100,0),MATCH(J$31,'PL(MTX)'!$C$3:$K$3,0))</f>
        <v>5615.6880000000001</v>
      </c>
      <c r="K32" s="90">
        <f>J32+(J32*K56)</f>
        <v>6045.3326776121667</v>
      </c>
      <c r="L32" s="90">
        <f>K32+(K32*L56)</f>
        <v>6583.6569298865406</v>
      </c>
      <c r="M32" s="90">
        <f>L32+(L32*M56)</f>
        <v>7266.008519926203</v>
      </c>
      <c r="N32" s="90">
        <f>M32+(M32*N56)</f>
        <v>8142.513108558971</v>
      </c>
      <c r="O32" s="90">
        <f>N32+(N32*O56)</f>
        <v>9285.7442156881043</v>
      </c>
      <c r="P32" s="90">
        <f>O32+(O32*P56)</f>
        <v>10803.17733410349</v>
      </c>
    </row>
    <row r="33" spans="2:19" outlineLevel="1">
      <c r="B33" s="25" t="s">
        <v>207</v>
      </c>
      <c r="C33" s="30"/>
      <c r="D33" s="74"/>
      <c r="E33" s="51">
        <f>INDEX('PL(MTX)'!$C$4:$K$100,MATCH($B33,'PL(MTX)'!$B$4:$B$100,0),MATCH(E$31,'PL(MTX)'!$C$3:$K$3,0))</f>
        <v>4822.3119999999999</v>
      </c>
      <c r="F33" s="51">
        <f>INDEX('PL(MTX)'!$C$4:$K$100,MATCH($B33,'PL(MTX)'!$B$4:$B$100,0),MATCH(F$31,'PL(MTX)'!$C$3:$K$3,0))</f>
        <v>4388.3599999999997</v>
      </c>
      <c r="G33" s="51">
        <f>INDEX('PL(MTX)'!$C$4:$K$100,MATCH($B33,'PL(MTX)'!$B$4:$B$100,0),MATCH(G$31,'PL(MTX)'!$C$3:$K$3,0))</f>
        <v>4140.7520000000004</v>
      </c>
      <c r="H33" s="51">
        <f>INDEX('PL(MTX)'!$C$4:$K$100,MATCH($B33,'PL(MTX)'!$B$4:$B$100,0),MATCH(H$31,'PL(MTX)'!$C$3:$K$3,0))</f>
        <v>3979.7730000000001</v>
      </c>
      <c r="I33" s="51">
        <f>INDEX('PL(MTX)'!$C$4:$K$100,MATCH($B33,'PL(MTX)'!$B$4:$B$100,0),MATCH(I$31,'PL(MTX)'!$C$3:$K$3,0))</f>
        <v>4260.3429999999998</v>
      </c>
      <c r="J33" s="51">
        <f>INDEX('PL(MTX)'!$C$4:$K$100,MATCH($B33,'PL(MTX)'!$B$4:$B$100,0),MATCH(J$31,'PL(MTX)'!$C$3:$K$3,0))</f>
        <v>4714.8599999999997</v>
      </c>
      <c r="K33" s="91">
        <f>K32*K57</f>
        <v>5115.5202143947354</v>
      </c>
      <c r="L33" s="91">
        <f>L32*L57</f>
        <v>5567.5691433723159</v>
      </c>
      <c r="M33" s="91">
        <f>M32*M57</f>
        <v>6140.7746096008177</v>
      </c>
      <c r="N33" s="91">
        <f>N32*N57</f>
        <v>6877.2458255877746</v>
      </c>
      <c r="O33" s="91">
        <f>O32*O57</f>
        <v>7837.9344269252124</v>
      </c>
      <c r="P33" s="91">
        <f>P32*P57</f>
        <v>9113.0812384499441</v>
      </c>
    </row>
    <row r="34" spans="2:19" outlineLevel="1">
      <c r="B34" s="26" t="s">
        <v>5</v>
      </c>
      <c r="C34" s="31"/>
      <c r="D34" s="76"/>
      <c r="E34" s="52">
        <f t="shared" ref="E34:P34" si="5">E32-E33</f>
        <v>870.21799999999985</v>
      </c>
      <c r="F34" s="52">
        <f t="shared" si="5"/>
        <v>1005.3850000000002</v>
      </c>
      <c r="G34" s="52">
        <f t="shared" si="5"/>
        <v>1043.0559999999996</v>
      </c>
      <c r="H34" s="52">
        <f t="shared" si="5"/>
        <v>563.15399999999954</v>
      </c>
      <c r="I34" s="52">
        <f t="shared" si="5"/>
        <v>694.48000000000047</v>
      </c>
      <c r="J34" s="52">
        <f t="shared" si="5"/>
        <v>900.82800000000043</v>
      </c>
      <c r="K34" s="92">
        <f t="shared" ref="K34" si="6">K32-K33</f>
        <v>929.81246321743129</v>
      </c>
      <c r="L34" s="92">
        <f t="shared" si="5"/>
        <v>1016.0877865142247</v>
      </c>
      <c r="M34" s="92">
        <f t="shared" si="5"/>
        <v>1125.2339103253853</v>
      </c>
      <c r="N34" s="92">
        <f t="shared" si="5"/>
        <v>1265.2672829711964</v>
      </c>
      <c r="O34" s="92">
        <f t="shared" si="5"/>
        <v>1447.8097887628919</v>
      </c>
      <c r="P34" s="92">
        <f t="shared" si="5"/>
        <v>1690.0960956535455</v>
      </c>
    </row>
    <row r="35" spans="2:19" outlineLevel="1">
      <c r="B35" s="6" t="s">
        <v>181</v>
      </c>
      <c r="C35" s="29"/>
      <c r="D35" s="73"/>
      <c r="E35" s="50"/>
      <c r="F35" s="50"/>
      <c r="G35" s="50"/>
      <c r="H35" s="50"/>
      <c r="I35" s="50"/>
      <c r="J35" s="50"/>
      <c r="K35" s="90"/>
      <c r="L35" s="90"/>
      <c r="M35" s="90"/>
      <c r="N35" s="90"/>
      <c r="O35" s="90"/>
      <c r="P35" s="90"/>
    </row>
    <row r="36" spans="2:19" outlineLevel="1">
      <c r="B36" s="53" t="s">
        <v>14</v>
      </c>
      <c r="C36" s="29"/>
      <c r="D36" s="73"/>
      <c r="E36" s="50">
        <f>INDEX('PL(MTX)'!$C$4:$K$100,MATCH($B36,'PL(MTX)'!$B$4:$B$100,0),MATCH(E$31,'PL(MTX)'!$C$3:$K$3,0))</f>
        <v>86.581000000000003</v>
      </c>
      <c r="F36" s="50">
        <f>INDEX('PL(MTX)'!$C$4:$K$100,MATCH($B36,'PL(MTX)'!$B$4:$B$100,0),MATCH(F$31,'PL(MTX)'!$C$3:$K$3,0))</f>
        <v>71.686999999999998</v>
      </c>
      <c r="G36" s="50">
        <f>INDEX('PL(MTX)'!$C$4:$K$100,MATCH($B36,'PL(MTX)'!$B$4:$B$100,0),MATCH(G$31,'PL(MTX)'!$C$3:$K$3,0))</f>
        <v>73.695999999999998</v>
      </c>
      <c r="H36" s="50">
        <f>INDEX('PL(MTX)'!$C$4:$K$100,MATCH($B36,'PL(MTX)'!$B$4:$B$100,0),MATCH(H$31,'PL(MTX)'!$C$3:$K$3,0))</f>
        <v>69.680000000000007</v>
      </c>
      <c r="I36" s="50">
        <f>INDEX('PL(MTX)'!$C$4:$K$100,MATCH($B36,'PL(MTX)'!$B$4:$B$100,0),MATCH(I$31,'PL(MTX)'!$C$3:$K$3,0))</f>
        <v>98.197000000000003</v>
      </c>
      <c r="J36" s="50">
        <f>INDEX('PL(MTX)'!$C$4:$K$100,MATCH($B36,'PL(MTX)'!$B$4:$B$100,0),MATCH(J$31,'PL(MTX)'!$C$3:$K$3,0))</f>
        <v>111.682</v>
      </c>
      <c r="K36" s="90">
        <f t="shared" ref="K36" si="7">K$32*K58</f>
        <v>119.09562308330685</v>
      </c>
      <c r="L36" s="90">
        <f t="shared" ref="L36:P38" si="8">L$32*L58</f>
        <v>137.94924841017246</v>
      </c>
      <c r="M36" s="90">
        <f t="shared" si="8"/>
        <v>161.92898755017725</v>
      </c>
      <c r="N36" s="90">
        <f t="shared" si="8"/>
        <v>193.00284691852937</v>
      </c>
      <c r="O36" s="90">
        <f t="shared" si="8"/>
        <v>234.09843820296598</v>
      </c>
      <c r="P36" s="90">
        <f t="shared" si="8"/>
        <v>289.67422651243709</v>
      </c>
    </row>
    <row r="37" spans="2:19" outlineLevel="1">
      <c r="B37" s="53" t="s">
        <v>250</v>
      </c>
      <c r="C37" s="29"/>
      <c r="D37" s="73"/>
      <c r="E37" s="50">
        <f>INDEX('PL(MTX)'!$C$4:$K$100,MATCH($B37,'PL(MTX)'!$B$4:$B$100,0),MATCH(E$31,'PL(MTX)'!$C$3:$K$3,0))</f>
        <v>202.32400000000001</v>
      </c>
      <c r="F37" s="50">
        <f>INDEX('PL(MTX)'!$C$4:$K$100,MATCH($B37,'PL(MTX)'!$B$4:$B$100,0),MATCH(F$31,'PL(MTX)'!$C$3:$K$3,0))</f>
        <v>234.66499999999999</v>
      </c>
      <c r="G37" s="50">
        <f>INDEX('PL(MTX)'!$C$4:$K$100,MATCH($B37,'PL(MTX)'!$B$4:$B$100,0),MATCH(G$31,'PL(MTX)'!$C$3:$K$3,0))</f>
        <v>227.696</v>
      </c>
      <c r="H37" s="50">
        <f>INDEX('PL(MTX)'!$C$4:$K$100,MATCH($B37,'PL(MTX)'!$B$4:$B$100,0),MATCH(H$31,'PL(MTX)'!$C$3:$K$3,0))</f>
        <v>257.01799999999997</v>
      </c>
      <c r="I37" s="50">
        <f>INDEX('PL(MTX)'!$C$4:$K$100,MATCH($B37,'PL(MTX)'!$B$4:$B$100,0),MATCH(I$31,'PL(MTX)'!$C$3:$K$3,0))</f>
        <v>255.55</v>
      </c>
      <c r="J37" s="50">
        <f>INDEX('PL(MTX)'!$C$4:$K$100,MATCH($B37,'PL(MTX)'!$B$4:$B$100,0),MATCH(J$31,'PL(MTX)'!$C$3:$K$3,0))</f>
        <v>267.61399999999998</v>
      </c>
      <c r="K37" s="90">
        <f t="shared" ref="K37" si="9">K$32*K59</f>
        <v>319.86535840284347</v>
      </c>
      <c r="L37" s="90">
        <f t="shared" si="8"/>
        <v>373.24272245329882</v>
      </c>
      <c r="M37" s="90">
        <f t="shared" si="8"/>
        <v>441.36431094264964</v>
      </c>
      <c r="N37" s="90">
        <f t="shared" si="8"/>
        <v>529.95248145304436</v>
      </c>
      <c r="O37" s="90">
        <f t="shared" si="8"/>
        <v>647.54854761412298</v>
      </c>
      <c r="P37" s="90">
        <f t="shared" si="8"/>
        <v>807.20580380130798</v>
      </c>
    </row>
    <row r="38" spans="2:19" outlineLevel="1">
      <c r="B38" s="53" t="s">
        <v>6</v>
      </c>
      <c r="C38" s="29"/>
      <c r="D38" s="73"/>
      <c r="E38" s="50">
        <f t="shared" ref="E38:J38" si="10">E34-E39-E42</f>
        <v>0</v>
      </c>
      <c r="F38" s="50">
        <f t="shared" si="10"/>
        <v>0</v>
      </c>
      <c r="G38" s="50">
        <f t="shared" si="10"/>
        <v>0</v>
      </c>
      <c r="H38" s="50">
        <f t="shared" si="10"/>
        <v>9.9999999952160579E-4</v>
      </c>
      <c r="I38" s="50">
        <f t="shared" si="10"/>
        <v>5.1159076974727213E-13</v>
      </c>
      <c r="J38" s="50">
        <f t="shared" si="10"/>
        <v>1.0000000003174137E-3</v>
      </c>
      <c r="K38" s="90">
        <f t="shared" ref="K38" si="11">K$32*K60</f>
        <v>6.7907319788083659E-4</v>
      </c>
      <c r="L38" s="90">
        <f t="shared" si="8"/>
        <v>7.395432482458997E-4</v>
      </c>
      <c r="M38" s="90">
        <f t="shared" si="8"/>
        <v>8.1619191276742465E-4</v>
      </c>
      <c r="N38" s="90">
        <f t="shared" si="8"/>
        <v>9.1464981503711117E-4</v>
      </c>
      <c r="O38" s="90">
        <f t="shared" si="8"/>
        <v>1.0430691502889263E-3</v>
      </c>
      <c r="P38" s="90">
        <f t="shared" si="8"/>
        <v>1.2135226580187342E-3</v>
      </c>
    </row>
    <row r="39" spans="2:19" outlineLevel="1">
      <c r="B39" s="25" t="s">
        <v>295</v>
      </c>
      <c r="C39" s="30"/>
      <c r="D39" s="74"/>
      <c r="E39" s="51">
        <f>INDEX('PL(MTX)'!$C$4:$K$100,MATCH($B39,'PL(MTX)'!$B$4:$B$100,0),MATCH(E$31,'PL(MTX)'!$C$3:$K$3,0))</f>
        <v>242.56299999999999</v>
      </c>
      <c r="F39" s="51">
        <f>INDEX('PL(MTX)'!$C$4:$K$100,MATCH($B39,'PL(MTX)'!$B$4:$B$100,0),MATCH(F$31,'PL(MTX)'!$C$3:$K$3,0))</f>
        <v>272.92899999999997</v>
      </c>
      <c r="G39" s="51">
        <f>INDEX('PL(MTX)'!$C$4:$K$100,MATCH($B39,'PL(MTX)'!$B$4:$B$100,0),MATCH(G$31,'PL(MTX)'!$C$3:$K$3,0))</f>
        <v>252.78399999999999</v>
      </c>
      <c r="H39" s="51">
        <f>INDEX('PL(MTX)'!$C$4:$K$100,MATCH($B39,'PL(MTX)'!$B$4:$B$100,0),MATCH(H$31,'PL(MTX)'!$C$3:$K$3,0))</f>
        <v>262.72899999999998</v>
      </c>
      <c r="I39" s="51">
        <f>INDEX('PL(MTX)'!$C$4:$K$100,MATCH($B39,'PL(MTX)'!$B$4:$B$100,0),MATCH(I$31,'PL(MTX)'!$C$3:$K$3,0))</f>
        <v>274.48</v>
      </c>
      <c r="J39" s="51">
        <f>INDEX('PL(MTX)'!$C$4:$K$100,MATCH($B39,'PL(MTX)'!$B$4:$B$100,0),MATCH(J$31,'PL(MTX)'!$C$3:$K$3,0))</f>
        <v>364.54500000000002</v>
      </c>
      <c r="K39" s="91">
        <f t="shared" ref="K39" si="12">SUM(K36:K38)</f>
        <v>438.96166055934822</v>
      </c>
      <c r="L39" s="91">
        <f t="shared" ref="L39:P39" si="13">SUM(L36:L38)</f>
        <v>511.19271040671953</v>
      </c>
      <c r="M39" s="91">
        <f t="shared" si="13"/>
        <v>603.29411468473972</v>
      </c>
      <c r="N39" s="91">
        <f t="shared" si="13"/>
        <v>722.95624302138879</v>
      </c>
      <c r="O39" s="91">
        <f t="shared" si="13"/>
        <v>881.64802888623933</v>
      </c>
      <c r="P39" s="91">
        <f t="shared" si="13"/>
        <v>1096.881243836403</v>
      </c>
    </row>
    <row r="40" spans="2:19" outlineLevel="1">
      <c r="B40" s="26" t="s">
        <v>20</v>
      </c>
      <c r="C40" s="31"/>
      <c r="D40" s="76"/>
      <c r="E40" s="52">
        <f>INDEX('PL(MTX)'!$C$4:$K$100,MATCH($B40,'PL(MTX)'!$B$4:$B$100,0),MATCH(E$31,'PL(MTX)'!$C$3:$K$3,0))</f>
        <v>849.42</v>
      </c>
      <c r="F40" s="52">
        <f>INDEX('PL(MTX)'!$C$4:$K$100,MATCH($B40,'PL(MTX)'!$B$4:$B$100,0),MATCH(F$31,'PL(MTX)'!$C$3:$K$3,0))</f>
        <v>969.24699999999996</v>
      </c>
      <c r="G40" s="52">
        <f>INDEX('PL(MTX)'!$C$4:$K$100,MATCH($B40,'PL(MTX)'!$B$4:$B$100,0),MATCH(G$31,'PL(MTX)'!$C$3:$K$3,0))</f>
        <v>1080.912</v>
      </c>
      <c r="H40" s="52">
        <f>INDEX('PL(MTX)'!$C$4:$K$100,MATCH($B40,'PL(MTX)'!$B$4:$B$100,0),MATCH(H$31,'PL(MTX)'!$C$3:$K$3,0))</f>
        <v>702.51400000000001</v>
      </c>
      <c r="I40" s="52">
        <f>INDEX('PL(MTX)'!$C$4:$K$100,MATCH($B40,'PL(MTX)'!$B$4:$B$100,0),MATCH(I$31,'PL(MTX)'!$C$3:$K$3,0))</f>
        <v>842.36699999999996</v>
      </c>
      <c r="J40" s="52">
        <f>INDEX('PL(MTX)'!$C$4:$K$100,MATCH($B40,'PL(MTX)'!$B$4:$B$100,0),MATCH(J$31,'PL(MTX)'!$C$3:$K$3,0))</f>
        <v>911.36400000000003</v>
      </c>
      <c r="K40" s="92">
        <f>K34-K39+K41</f>
        <v>938.80633122784707</v>
      </c>
      <c r="L40" s="92">
        <f>L34-L39+L41</f>
        <v>992.74010916434713</v>
      </c>
      <c r="M40" s="92">
        <f>M34-M39+M41</f>
        <v>1060.3466726004056</v>
      </c>
      <c r="N40" s="92">
        <f>N34-N39+N41</f>
        <v>1145.6663816564078</v>
      </c>
      <c r="O40" s="92">
        <f>O34-O39+O41</f>
        <v>1254.2298415070559</v>
      </c>
      <c r="P40" s="92">
        <f>P34-P39+P41</f>
        <v>1393.7238181562298</v>
      </c>
    </row>
    <row r="41" spans="2:19" outlineLevel="1">
      <c r="B41" s="25" t="s">
        <v>208</v>
      </c>
      <c r="C41" s="30"/>
      <c r="D41" s="74"/>
      <c r="E41" s="51">
        <f>INDEX('CF(MTX)'!$C$4:$K$100,MATCH($B41,'CF(MTX)'!$B$4:$B$100,0),MATCH(E$31,'CF(MTX)'!$C$3:$K$3,0))</f>
        <v>221.76499999999999</v>
      </c>
      <c r="F41" s="51">
        <f>INDEX('CF(MTX)'!$C$4:$K$100,MATCH($B41,'CF(MTX)'!$B$4:$B$100,0),MATCH(F$31,'CF(MTX)'!$C$3:$K$3,0))</f>
        <v>236.791</v>
      </c>
      <c r="G41" s="51">
        <f>INDEX('CF(MTX)'!$C$4:$K$100,MATCH($B41,'CF(MTX)'!$B$4:$B$100,0),MATCH(G$31,'CF(MTX)'!$C$3:$K$3,0))</f>
        <v>290.64</v>
      </c>
      <c r="H41" s="51">
        <f>INDEX('CF(MTX)'!$C$4:$K$100,MATCH($B41,'CF(MTX)'!$B$4:$B$100,0),MATCH(H$31,'CF(MTX)'!$C$3:$K$3,0))</f>
        <v>402.09</v>
      </c>
      <c r="I41" s="51">
        <f>INDEX('CF(MTX)'!$C$4:$K$100,MATCH($B41,'CF(MTX)'!$B$4:$B$100,0),MATCH(I$31,'CF(MTX)'!$C$3:$K$3,0))</f>
        <v>422.36700000000002</v>
      </c>
      <c r="J41" s="51">
        <f>INDEX('CF(MTX)'!$C$4:$K$100,MATCH($B41,'CF(MTX)'!$B$4:$B$100,0),MATCH(J$31,'CF(MTX)'!$C$3:$K$3,0))</f>
        <v>375.08199999999999</v>
      </c>
      <c r="K41" s="91">
        <f>K67</f>
        <v>447.95552856976394</v>
      </c>
      <c r="L41" s="91">
        <f>L67</f>
        <v>487.845033056842</v>
      </c>
      <c r="M41" s="91">
        <f t="shared" ref="M41:P41" si="14">M67</f>
        <v>538.40687695975998</v>
      </c>
      <c r="N41" s="91">
        <f t="shared" si="14"/>
        <v>603.35534170660026</v>
      </c>
      <c r="O41" s="91">
        <f t="shared" si="14"/>
        <v>688.0680816304033</v>
      </c>
      <c r="P41" s="91">
        <f t="shared" si="14"/>
        <v>800.50896633908724</v>
      </c>
    </row>
    <row r="42" spans="2:19" outlineLevel="1">
      <c r="B42" s="26" t="s">
        <v>209</v>
      </c>
      <c r="C42" s="31"/>
      <c r="D42" s="76"/>
      <c r="E42" s="52">
        <f t="shared" ref="E42:P42" si="15">E40-SUM(E41:E41)</f>
        <v>627.65499999999997</v>
      </c>
      <c r="F42" s="52">
        <f t="shared" si="15"/>
        <v>732.4559999999999</v>
      </c>
      <c r="G42" s="52">
        <f t="shared" si="15"/>
        <v>790.27200000000005</v>
      </c>
      <c r="H42" s="52">
        <f t="shared" si="15"/>
        <v>300.42400000000004</v>
      </c>
      <c r="I42" s="52">
        <f t="shared" si="15"/>
        <v>419.99999999999994</v>
      </c>
      <c r="J42" s="52">
        <f t="shared" si="15"/>
        <v>536.28200000000004</v>
      </c>
      <c r="K42" s="92">
        <f t="shared" si="15"/>
        <v>490.85080265808313</v>
      </c>
      <c r="L42" s="92">
        <f t="shared" si="15"/>
        <v>504.89507610750513</v>
      </c>
      <c r="M42" s="92">
        <f t="shared" si="15"/>
        <v>521.93979564064557</v>
      </c>
      <c r="N42" s="92">
        <f t="shared" si="15"/>
        <v>542.31103994980754</v>
      </c>
      <c r="O42" s="92">
        <f t="shared" si="15"/>
        <v>566.16175987665258</v>
      </c>
      <c r="P42" s="92">
        <f t="shared" si="15"/>
        <v>593.21485181714252</v>
      </c>
      <c r="Q42" s="87"/>
      <c r="R42" s="87"/>
      <c r="S42" s="87"/>
    </row>
    <row r="43" spans="2:19" outlineLevel="1">
      <c r="B43" s="25" t="s">
        <v>252</v>
      </c>
      <c r="C43" s="30"/>
      <c r="D43" s="74"/>
      <c r="E43" s="51">
        <f>INDEX('PL(MTX)'!$C$4:$K$100,MATCH($B43,'PL(MTX)'!$B$4:$B$100,0),MATCH(E$31,'PL(MTX)'!$C$3:$K$3,0))</f>
        <v>150.89500000000001</v>
      </c>
      <c r="F43" s="51">
        <f>INDEX('PL(MTX)'!$C$4:$K$100,MATCH($B43,'PL(MTX)'!$B$4:$B$100,0),MATCH(F$31,'PL(MTX)'!$C$3:$K$3,0))</f>
        <v>181.874</v>
      </c>
      <c r="G43" s="51">
        <f>INDEX('PL(MTX)'!$C$4:$K$100,MATCH($B43,'PL(MTX)'!$B$4:$B$100,0),MATCH(G$31,'PL(MTX)'!$C$3:$K$3,0))</f>
        <v>199.584</v>
      </c>
      <c r="H43" s="51">
        <f>INDEX('PL(MTX)'!$C$4:$K$100,MATCH($B43,'PL(MTX)'!$B$4:$B$100,0),MATCH(H$31,'PL(MTX)'!$C$3:$K$3,0))</f>
        <v>54.83</v>
      </c>
      <c r="I43" s="51">
        <f>INDEX('PL(MTX)'!$C$4:$K$100,MATCH($B43,'PL(MTX)'!$B$4:$B$100,0),MATCH(I$31,'PL(MTX)'!$C$3:$K$3,0))</f>
        <v>99.38</v>
      </c>
      <c r="J43" s="51">
        <f>INDEX('PL(MTX)'!$C$4:$K$100,MATCH($B43,'PL(MTX)'!$B$4:$B$100,0),MATCH(J$31,'PL(MTX)'!$C$3:$K$3,0))</f>
        <v>136.96799999999999</v>
      </c>
      <c r="K43" s="91">
        <f>K42*K61</f>
        <v>117.43061948456577</v>
      </c>
      <c r="L43" s="91">
        <f>L42*L61</f>
        <v>120.79055639909311</v>
      </c>
      <c r="M43" s="91">
        <f>M42*M61</f>
        <v>124.86831681606367</v>
      </c>
      <c r="N43" s="91">
        <f>N42*N61</f>
        <v>129.74191145203432</v>
      </c>
      <c r="O43" s="91">
        <f>O42*O61</f>
        <v>135.44793210229142</v>
      </c>
      <c r="P43" s="91">
        <f>P42*P61</f>
        <v>141.92008479785824</v>
      </c>
    </row>
    <row r="44" spans="2:19" outlineLevel="1">
      <c r="B44" s="26" t="s">
        <v>210</v>
      </c>
      <c r="C44" s="31"/>
      <c r="D44" s="76"/>
      <c r="E44" s="52">
        <f t="shared" ref="E44:P44" si="16">E42-E43</f>
        <v>476.76</v>
      </c>
      <c r="F44" s="52">
        <f t="shared" si="16"/>
        <v>550.58199999999988</v>
      </c>
      <c r="G44" s="52">
        <f t="shared" si="16"/>
        <v>590.6880000000001</v>
      </c>
      <c r="H44" s="52">
        <f t="shared" si="16"/>
        <v>245.59400000000005</v>
      </c>
      <c r="I44" s="52">
        <f t="shared" si="16"/>
        <v>320.61999999999995</v>
      </c>
      <c r="J44" s="52">
        <f t="shared" si="16"/>
        <v>399.31400000000008</v>
      </c>
      <c r="K44" s="92">
        <f t="shared" ref="K44" si="17">K42-K43</f>
        <v>373.42018317351733</v>
      </c>
      <c r="L44" s="92">
        <f t="shared" si="16"/>
        <v>384.104519708412</v>
      </c>
      <c r="M44" s="92">
        <f t="shared" si="16"/>
        <v>397.0714788245819</v>
      </c>
      <c r="N44" s="92">
        <f t="shared" si="16"/>
        <v>412.56912849777325</v>
      </c>
      <c r="O44" s="92">
        <f t="shared" si="16"/>
        <v>430.71382777436116</v>
      </c>
      <c r="P44" s="92">
        <f t="shared" si="16"/>
        <v>451.29476701928428</v>
      </c>
    </row>
    <row r="45" spans="2:19" outlineLevel="1">
      <c r="B45" s="6" t="s">
        <v>298</v>
      </c>
      <c r="C45" s="29"/>
      <c r="D45" s="73"/>
      <c r="E45" s="50">
        <f t="shared" ref="E45:P45" si="18">E41</f>
        <v>221.76499999999999</v>
      </c>
      <c r="F45" s="50">
        <f t="shared" si="18"/>
        <v>236.791</v>
      </c>
      <c r="G45" s="50">
        <f t="shared" si="18"/>
        <v>290.64</v>
      </c>
      <c r="H45" s="50">
        <f t="shared" si="18"/>
        <v>402.09</v>
      </c>
      <c r="I45" s="50">
        <f t="shared" si="18"/>
        <v>422.36700000000002</v>
      </c>
      <c r="J45" s="50">
        <f t="shared" si="18"/>
        <v>375.08199999999999</v>
      </c>
      <c r="K45" s="90">
        <f t="shared" ref="K45" si="19">K41</f>
        <v>447.95552856976394</v>
      </c>
      <c r="L45" s="90">
        <f t="shared" si="18"/>
        <v>487.845033056842</v>
      </c>
      <c r="M45" s="90">
        <f t="shared" si="18"/>
        <v>538.40687695975998</v>
      </c>
      <c r="N45" s="90">
        <f t="shared" si="18"/>
        <v>603.35534170660026</v>
      </c>
      <c r="O45" s="90">
        <f t="shared" si="18"/>
        <v>688.0680816304033</v>
      </c>
      <c r="P45" s="90">
        <f t="shared" si="18"/>
        <v>800.50896633908724</v>
      </c>
    </row>
    <row r="46" spans="2:19" outlineLevel="1">
      <c r="B46" s="6" t="s">
        <v>299</v>
      </c>
      <c r="C46" s="29"/>
      <c r="D46" s="73"/>
      <c r="E46" s="50">
        <f>-E68</f>
        <v>220.86099999999999</v>
      </c>
      <c r="F46" s="50">
        <f t="shared" ref="F46:P46" si="20">-F68</f>
        <v>235.333</v>
      </c>
      <c r="G46" s="50">
        <f t="shared" si="20"/>
        <v>337.904</v>
      </c>
      <c r="H46" s="50">
        <f t="shared" si="20"/>
        <v>222.749</v>
      </c>
      <c r="I46" s="50">
        <f t="shared" si="20"/>
        <v>309.92200000000003</v>
      </c>
      <c r="J46" s="50">
        <f t="shared" si="20"/>
        <v>339.22590000000002</v>
      </c>
      <c r="K46" s="90">
        <f t="shared" ref="K46" si="21">-K68</f>
        <v>353.55210546443067</v>
      </c>
      <c r="L46" s="90">
        <f t="shared" si="20"/>
        <v>385.03518223851927</v>
      </c>
      <c r="M46" s="90">
        <f t="shared" si="20"/>
        <v>424.94147924330446</v>
      </c>
      <c r="N46" s="90">
        <f t="shared" si="20"/>
        <v>476.20251966676597</v>
      </c>
      <c r="O46" s="90">
        <f t="shared" si="20"/>
        <v>543.06265566139712</v>
      </c>
      <c r="P46" s="90">
        <f t="shared" si="20"/>
        <v>631.80742828640405</v>
      </c>
    </row>
    <row r="47" spans="2:19" outlineLevel="1">
      <c r="B47" s="6" t="s">
        <v>300</v>
      </c>
      <c r="C47" s="29"/>
      <c r="D47" s="73"/>
      <c r="E47" s="69">
        <f>E48-D48</f>
        <v>372.83300000000008</v>
      </c>
      <c r="F47" s="50">
        <f t="shared" ref="F47:P47" si="22">F48-E48</f>
        <v>82.135999999999967</v>
      </c>
      <c r="G47" s="50">
        <f t="shared" si="22"/>
        <v>-7.1710000000002765</v>
      </c>
      <c r="H47" s="50">
        <f t="shared" si="22"/>
        <v>46.614000000000033</v>
      </c>
      <c r="I47" s="50">
        <f t="shared" si="22"/>
        <v>21.296000000000731</v>
      </c>
      <c r="J47" s="50">
        <f t="shared" si="22"/>
        <v>-210.45100000000093</v>
      </c>
      <c r="K47" s="90">
        <f t="shared" si="22"/>
        <v>-304.00710734965378</v>
      </c>
      <c r="L47" s="90">
        <f t="shared" si="22"/>
        <v>-19.310901412018211</v>
      </c>
      <c r="M47" s="90">
        <f t="shared" si="22"/>
        <v>-19.726366024070558</v>
      </c>
      <c r="N47" s="90">
        <f t="shared" si="22"/>
        <v>-25.342465268174237</v>
      </c>
      <c r="O47" s="90">
        <f t="shared" si="22"/>
        <v>-33.056363278970821</v>
      </c>
      <c r="P47" s="90">
        <f t="shared" si="22"/>
        <v>-43.876475508840485</v>
      </c>
    </row>
    <row r="48" spans="2:19" outlineLevel="1">
      <c r="B48" s="53" t="s">
        <v>211</v>
      </c>
      <c r="C48" s="32"/>
      <c r="D48" s="85">
        <f t="shared" ref="D48:P48" si="23">D49-D50</f>
        <v>-229.39800000000014</v>
      </c>
      <c r="E48" s="69">
        <f t="shared" si="23"/>
        <v>143.43499999999995</v>
      </c>
      <c r="F48" s="69">
        <f t="shared" si="23"/>
        <v>225.57099999999991</v>
      </c>
      <c r="G48" s="69">
        <f t="shared" si="23"/>
        <v>218.39999999999964</v>
      </c>
      <c r="H48" s="69">
        <f t="shared" si="23"/>
        <v>265.01399999999967</v>
      </c>
      <c r="I48" s="50">
        <f t="shared" si="23"/>
        <v>286.3100000000004</v>
      </c>
      <c r="J48" s="50">
        <f t="shared" si="23"/>
        <v>75.858999999999469</v>
      </c>
      <c r="K48" s="90">
        <f t="shared" ref="K48" si="24">K49-K50</f>
        <v>-228.14810734965431</v>
      </c>
      <c r="L48" s="90">
        <f t="shared" si="23"/>
        <v>-247.45900876167252</v>
      </c>
      <c r="M48" s="90">
        <f t="shared" si="23"/>
        <v>-267.18537478574308</v>
      </c>
      <c r="N48" s="90">
        <f t="shared" si="23"/>
        <v>-292.52784005391732</v>
      </c>
      <c r="O48" s="90">
        <f t="shared" si="23"/>
        <v>-325.58420333288814</v>
      </c>
      <c r="P48" s="90">
        <f t="shared" si="23"/>
        <v>-369.46067884172862</v>
      </c>
    </row>
    <row r="49" spans="2:16" outlineLevel="1">
      <c r="B49" s="53" t="s">
        <v>297</v>
      </c>
      <c r="C49" s="32"/>
      <c r="D49" s="83">
        <f>D83</f>
        <v>2404.5309999999999</v>
      </c>
      <c r="E49" s="69">
        <f t="shared" ref="E49:P49" si="25">E83</f>
        <v>2555.0430000000001</v>
      </c>
      <c r="F49" s="69">
        <f t="shared" si="25"/>
        <v>3537.4490000000001</v>
      </c>
      <c r="G49" s="69">
        <f t="shared" si="25"/>
        <v>3817.9679999999998</v>
      </c>
      <c r="H49" s="69">
        <f t="shared" si="25"/>
        <v>3655.3599999999997</v>
      </c>
      <c r="I49" s="69">
        <f t="shared" si="25"/>
        <v>3976.3990000000003</v>
      </c>
      <c r="J49" s="69">
        <f t="shared" si="25"/>
        <v>4058.4669999999996</v>
      </c>
      <c r="K49" s="93">
        <f t="shared" ref="K49" si="26">K83</f>
        <v>4178.6051016247557</v>
      </c>
      <c r="L49" s="93">
        <f t="shared" si="25"/>
        <v>4532.2903988407716</v>
      </c>
      <c r="M49" s="93">
        <f t="shared" si="25"/>
        <v>4893.5850624794693</v>
      </c>
      <c r="N49" s="93">
        <f t="shared" si="25"/>
        <v>5357.74036881759</v>
      </c>
      <c r="O49" s="93">
        <f t="shared" si="25"/>
        <v>5963.1781690399375</v>
      </c>
      <c r="P49" s="93">
        <f t="shared" si="25"/>
        <v>6766.78976386054</v>
      </c>
    </row>
    <row r="50" spans="2:16" outlineLevel="1">
      <c r="B50" s="114" t="s">
        <v>212</v>
      </c>
      <c r="C50" s="33"/>
      <c r="D50" s="84">
        <f t="shared" ref="D50:H50" si="27">D86</f>
        <v>2633.9290000000001</v>
      </c>
      <c r="E50" s="70">
        <f t="shared" si="27"/>
        <v>2411.6080000000002</v>
      </c>
      <c r="F50" s="70">
        <f t="shared" si="27"/>
        <v>3311.8780000000002</v>
      </c>
      <c r="G50" s="70">
        <f t="shared" si="27"/>
        <v>3599.5680000000002</v>
      </c>
      <c r="H50" s="70">
        <f t="shared" si="27"/>
        <v>3390.346</v>
      </c>
      <c r="I50" s="51">
        <f>I86</f>
        <v>3690.0889999999999</v>
      </c>
      <c r="J50" s="51">
        <f t="shared" ref="J50:P50" si="28">J86</f>
        <v>3982.6080000000002</v>
      </c>
      <c r="K50" s="91">
        <f t="shared" ref="K50" si="29">K86</f>
        <v>4406.75320897441</v>
      </c>
      <c r="L50" s="91">
        <f t="shared" si="28"/>
        <v>4779.7494076024441</v>
      </c>
      <c r="M50" s="91">
        <f t="shared" si="28"/>
        <v>5160.7704372652124</v>
      </c>
      <c r="N50" s="91">
        <f t="shared" si="28"/>
        <v>5650.2682088715073</v>
      </c>
      <c r="O50" s="91">
        <f t="shared" si="28"/>
        <v>6288.7623723728257</v>
      </c>
      <c r="P50" s="91">
        <f t="shared" si="28"/>
        <v>7136.2504427022686</v>
      </c>
    </row>
    <row r="51" spans="2:16" outlineLevel="1">
      <c r="B51" s="28" t="s">
        <v>213</v>
      </c>
      <c r="C51" s="34"/>
      <c r="D51" s="115"/>
      <c r="E51" s="86">
        <f t="shared" ref="E51:P51" si="30">E44+E45-E46-E47</f>
        <v>104.8309999999999</v>
      </c>
      <c r="F51" s="86">
        <f t="shared" si="30"/>
        <v>469.90399999999988</v>
      </c>
      <c r="G51" s="86">
        <f t="shared" si="30"/>
        <v>550.59500000000037</v>
      </c>
      <c r="H51" s="86">
        <f t="shared" si="30"/>
        <v>378.32099999999991</v>
      </c>
      <c r="I51" s="86">
        <f t="shared" si="30"/>
        <v>411.76899999999921</v>
      </c>
      <c r="J51" s="86">
        <f t="shared" si="30"/>
        <v>645.62110000000098</v>
      </c>
      <c r="K51" s="86">
        <f t="shared" si="30"/>
        <v>771.83071362850433</v>
      </c>
      <c r="L51" s="86">
        <f t="shared" si="30"/>
        <v>506.22527193875294</v>
      </c>
      <c r="M51" s="86">
        <f t="shared" si="30"/>
        <v>530.26324256510793</v>
      </c>
      <c r="N51" s="86">
        <f t="shared" si="30"/>
        <v>565.06441580578178</v>
      </c>
      <c r="O51" s="86">
        <f t="shared" si="30"/>
        <v>608.77561702233822</v>
      </c>
      <c r="P51" s="86">
        <f t="shared" si="30"/>
        <v>663.87278058080801</v>
      </c>
    </row>
    <row r="52" spans="2:16" outlineLevel="1">
      <c r="B52" s="6"/>
      <c r="C52" s="6"/>
      <c r="D52" s="6"/>
      <c r="E52" s="6"/>
      <c r="F52" s="56"/>
      <c r="G52" s="56"/>
      <c r="H52" s="56"/>
      <c r="I52" s="56"/>
      <c r="J52" s="56"/>
      <c r="K52" s="56"/>
      <c r="L52" s="6"/>
      <c r="M52" s="6"/>
      <c r="N52" s="6"/>
      <c r="O52" s="6"/>
      <c r="P52" s="6"/>
    </row>
    <row r="53" spans="2:16" outlineLevel="1">
      <c r="B53" s="113" t="s">
        <v>214</v>
      </c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</row>
    <row r="54" spans="2:16" outlineLevel="1">
      <c r="B54" s="104" t="str">
        <f>B31</f>
        <v>Fiscal Year</v>
      </c>
      <c r="C54" s="110"/>
      <c r="D54" s="107">
        <f>D$8</f>
        <v>42735</v>
      </c>
      <c r="E54" s="107">
        <f>E$8</f>
        <v>43100</v>
      </c>
      <c r="F54" s="107">
        <f t="shared" ref="F54:P54" si="31">F$8</f>
        <v>43465</v>
      </c>
      <c r="G54" s="107">
        <f t="shared" si="31"/>
        <v>43830</v>
      </c>
      <c r="H54" s="107">
        <f t="shared" si="31"/>
        <v>44196</v>
      </c>
      <c r="I54" s="107">
        <f t="shared" si="31"/>
        <v>44561</v>
      </c>
      <c r="J54" s="107">
        <f t="shared" si="31"/>
        <v>44926</v>
      </c>
      <c r="K54" s="108">
        <f t="shared" si="31"/>
        <v>45291</v>
      </c>
      <c r="L54" s="108">
        <f t="shared" si="31"/>
        <v>45657</v>
      </c>
      <c r="M54" s="108">
        <f t="shared" si="31"/>
        <v>46022</v>
      </c>
      <c r="N54" s="108">
        <f t="shared" si="31"/>
        <v>46387</v>
      </c>
      <c r="O54" s="108">
        <f t="shared" si="31"/>
        <v>46752</v>
      </c>
      <c r="P54" s="108">
        <f t="shared" si="31"/>
        <v>47118</v>
      </c>
    </row>
    <row r="55" spans="2:16" outlineLevel="1">
      <c r="B55" s="66" t="s">
        <v>292</v>
      </c>
      <c r="C55" s="132">
        <v>0.5</v>
      </c>
      <c r="D55" s="77"/>
      <c r="E55" s="68">
        <f>(1-$J55)*$C55^5</f>
        <v>1.7187500000000001E-2</v>
      </c>
      <c r="F55" s="68">
        <f>(1-$J55)*$C55^4</f>
        <v>3.4375000000000003E-2</v>
      </c>
      <c r="G55" s="68">
        <f>(1-$J55)*$C55^3</f>
        <v>6.8750000000000006E-2</v>
      </c>
      <c r="H55" s="68">
        <f>(1-$J55)*$C55^2</f>
        <v>0.13750000000000001</v>
      </c>
      <c r="I55" s="68">
        <f>(1-$J55)*$C55^1</f>
        <v>0.27500000000000002</v>
      </c>
      <c r="J55" s="133">
        <v>0.45</v>
      </c>
      <c r="K55" s="151"/>
      <c r="L55" s="67"/>
      <c r="M55" s="67"/>
      <c r="N55" s="67"/>
      <c r="O55" s="67"/>
      <c r="P55" s="67"/>
    </row>
    <row r="56" spans="2:16" outlineLevel="1">
      <c r="B56" s="6" t="s">
        <v>308</v>
      </c>
      <c r="C56" s="134">
        <f>AVERAGE((G56/F56-1),(H56/G56-1),(I56/H56-1),(J56/I56-1))</f>
        <v>0.16390430718514959</v>
      </c>
      <c r="D56" s="73"/>
      <c r="E56" s="58"/>
      <c r="F56" s="59">
        <f t="shared" ref="F56:J56" si="32">F32/E32-1</f>
        <v>-5.2487206918540585E-2</v>
      </c>
      <c r="G56" s="59">
        <f t="shared" si="32"/>
        <v>-3.8922307228094755E-2</v>
      </c>
      <c r="H56" s="59">
        <f t="shared" si="32"/>
        <v>-0.12363131504870561</v>
      </c>
      <c r="I56" s="59">
        <f t="shared" si="32"/>
        <v>9.0667536590396614E-2</v>
      </c>
      <c r="J56" s="59">
        <f t="shared" si="32"/>
        <v>0.13337812470798638</v>
      </c>
      <c r="K56" s="94">
        <f>SUMPRODUCT(F56:J56,F55:J55)/SUM(F55:J55)+SUMPRODUCT(F56:J56,F55:J55)/SUM(F55:J55)*$C56</f>
        <v>7.6507932351684516E-2</v>
      </c>
      <c r="L56" s="94">
        <f>K56+K56*$C56</f>
        <v>8.9047911997955656E-2</v>
      </c>
      <c r="M56" s="94">
        <f>L56+L56*$C56</f>
        <v>0.10364324832026475</v>
      </c>
      <c r="N56" s="94">
        <f t="shared" ref="N56:P56" si="33">M56+M56*$C56</f>
        <v>0.12063082313061617</v>
      </c>
      <c r="O56" s="94">
        <f t="shared" si="33"/>
        <v>0.14040273462101413</v>
      </c>
      <c r="P56" s="94">
        <f t="shared" si="33"/>
        <v>0.16341534756597187</v>
      </c>
    </row>
    <row r="57" spans="2:16" outlineLevel="1">
      <c r="B57" s="6" t="s">
        <v>307</v>
      </c>
      <c r="C57" s="134">
        <f>AVERAGE((F57/E57-1),(G57/F57-1),(H57/G57-1),(I57/H57-1),(J57/I57-1))</f>
        <v>-6.2420316003866108E-4</v>
      </c>
      <c r="D57" s="73"/>
      <c r="E57" s="59">
        <f t="shared" ref="E57:J57" si="34">E33/E32</f>
        <v>0.84712983506454953</v>
      </c>
      <c r="F57" s="59">
        <f t="shared" si="34"/>
        <v>0.81360168120665688</v>
      </c>
      <c r="G57" s="59">
        <f t="shared" si="34"/>
        <v>0.79878575749719138</v>
      </c>
      <c r="H57" s="59">
        <f t="shared" si="34"/>
        <v>0.87603718923944862</v>
      </c>
      <c r="I57" s="59">
        <f t="shared" si="34"/>
        <v>0.85983757643814918</v>
      </c>
      <c r="J57" s="59">
        <f t="shared" si="34"/>
        <v>0.83958724202626633</v>
      </c>
      <c r="K57" s="94">
        <f>SUMPRODUCT(E57:J57,E$55:J$55)/SUM(E$55:J$55)+SUMPRODUCT(E57:J57,E$55:J$55)/SUM(E$55:J$55)*C57</f>
        <v>0.84619333413017461</v>
      </c>
      <c r="L57" s="94">
        <f t="shared" ref="L57:L60" si="35">K57+K57*$C57</f>
        <v>0.8456651375770069</v>
      </c>
      <c r="M57" s="94">
        <f>L57+L57*$C57</f>
        <v>0.84513727072579681</v>
      </c>
      <c r="N57" s="94">
        <f>M57+M57*$C57</f>
        <v>0.8446097333707433</v>
      </c>
      <c r="O57" s="94">
        <f>N57+N57*$C57</f>
        <v>0.84408252530617389</v>
      </c>
      <c r="P57" s="94">
        <f>O57+O57*$C57</f>
        <v>0.84355564632654434</v>
      </c>
    </row>
    <row r="58" spans="2:16" outlineLevel="1">
      <c r="B58" s="6" t="s">
        <v>309</v>
      </c>
      <c r="C58" s="134">
        <f>AVERAGE((F58/E58-1),(G58/F58-1),(H58/G58-1),(I58/H58-1),(J58/I58-1))</f>
        <v>6.3595646609942519E-2</v>
      </c>
      <c r="D58" s="73"/>
      <c r="E58" s="59">
        <f t="shared" ref="E58:J60" si="36">E36/E$32</f>
        <v>1.5209581679850613E-2</v>
      </c>
      <c r="F58" s="59">
        <f t="shared" si="36"/>
        <v>1.3290765507082742E-2</v>
      </c>
      <c r="G58" s="59">
        <f t="shared" si="36"/>
        <v>1.4216575922565033E-2</v>
      </c>
      <c r="H58" s="59">
        <f t="shared" si="36"/>
        <v>1.5338128919967239E-2</v>
      </c>
      <c r="I58" s="59">
        <f t="shared" si="36"/>
        <v>1.9818467783813871E-2</v>
      </c>
      <c r="J58" s="59">
        <f t="shared" si="36"/>
        <v>1.9887500872555596E-2</v>
      </c>
      <c r="K58" s="94">
        <f>SUMPRODUCT(E58:J58,E$55:J$55)/SUM(E$55:J$55)+SUMPRODUCT(E58:J58,E$55:J$55)/SUM(E$55:J$55)*C58</f>
        <v>1.9700425011241595E-2</v>
      </c>
      <c r="L58" s="94">
        <f t="shared" si="35"/>
        <v>2.095328627832219E-2</v>
      </c>
      <c r="M58" s="94">
        <f t="shared" ref="M58:P59" si="37">L58+L58*$C58</f>
        <v>2.2285824067795324E-2</v>
      </c>
      <c r="N58" s="94">
        <f t="shared" si="37"/>
        <v>2.3703105459622186E-2</v>
      </c>
      <c r="O58" s="94">
        <f t="shared" si="37"/>
        <v>2.5210519777990516E-2</v>
      </c>
      <c r="P58" s="94">
        <f t="shared" si="37"/>
        <v>2.6813799084644568E-2</v>
      </c>
    </row>
    <row r="59" spans="2:16" outlineLevel="1">
      <c r="B59" s="6" t="s">
        <v>310</v>
      </c>
      <c r="C59" s="134">
        <f>AVERAGE((F59/E59-1),(G59/F59-1),(H59/G59-1),(I59/H59-1),(J59/I59-1))</f>
        <v>7.1462938472168003E-2</v>
      </c>
      <c r="D59" s="73"/>
      <c r="E59" s="59">
        <f t="shared" si="36"/>
        <v>3.5542017345538808E-2</v>
      </c>
      <c r="F59" s="59">
        <f t="shared" si="36"/>
        <v>4.3506876947278748E-2</v>
      </c>
      <c r="G59" s="59">
        <f t="shared" si="36"/>
        <v>4.3924466338259444E-2</v>
      </c>
      <c r="H59" s="59">
        <f t="shared" si="36"/>
        <v>5.6575419327671343E-2</v>
      </c>
      <c r="I59" s="59">
        <f t="shared" si="36"/>
        <v>5.1576009879666741E-2</v>
      </c>
      <c r="J59" s="59">
        <f t="shared" si="36"/>
        <v>4.7654713011121695E-2</v>
      </c>
      <c r="K59" s="94">
        <f>SUMPRODUCT(E59:J59,E$55:J$55)/SUM(E$55:J$55)+SUMPRODUCT(E59:J59,E$55:J$55)/SUM(E$55:J$55)*C59</f>
        <v>5.2911125898399095E-2</v>
      </c>
      <c r="L59" s="94">
        <f t="shared" si="35"/>
        <v>5.6692310432969524E-2</v>
      </c>
      <c r="M59" s="94">
        <f t="shared" si="37"/>
        <v>6.0743709525285877E-2</v>
      </c>
      <c r="N59" s="94">
        <f t="shared" si="37"/>
        <v>6.5084633501662631E-2</v>
      </c>
      <c r="O59" s="94">
        <f t="shared" si="37"/>
        <v>6.9735772661075557E-2</v>
      </c>
      <c r="P59" s="94">
        <f t="shared" si="37"/>
        <v>7.4719295892063095E-2</v>
      </c>
    </row>
    <row r="60" spans="2:16" outlineLevel="1">
      <c r="B60" s="6" t="s">
        <v>293</v>
      </c>
      <c r="C60" s="29"/>
      <c r="D60" s="73"/>
      <c r="E60" s="59">
        <f t="shared" si="36"/>
        <v>0</v>
      </c>
      <c r="F60" s="59">
        <f t="shared" si="36"/>
        <v>0</v>
      </c>
      <c r="G60" s="59">
        <f t="shared" si="36"/>
        <v>0</v>
      </c>
      <c r="H60" s="59">
        <f t="shared" si="36"/>
        <v>2.2012240115714072E-7</v>
      </c>
      <c r="I60" s="59">
        <f t="shared" si="36"/>
        <v>1.0325106865518145E-16</v>
      </c>
      <c r="J60" s="59">
        <f t="shared" si="36"/>
        <v>1.7807257103981091E-7</v>
      </c>
      <c r="K60" s="94">
        <f>SUMPRODUCT(D60:J60,D$55:J$55)/SUM(D$55:J$55)</f>
        <v>1.1233016181155184E-7</v>
      </c>
      <c r="L60" s="94">
        <f t="shared" si="35"/>
        <v>1.1233016181155184E-7</v>
      </c>
      <c r="M60" s="94">
        <f t="shared" ref="M60:P61" si="38">L60</f>
        <v>1.1233016181155184E-7</v>
      </c>
      <c r="N60" s="94">
        <f t="shared" si="38"/>
        <v>1.1233016181155184E-7</v>
      </c>
      <c r="O60" s="94">
        <f t="shared" si="38"/>
        <v>1.1233016181155184E-7</v>
      </c>
      <c r="P60" s="94">
        <f t="shared" si="38"/>
        <v>1.1233016181155184E-7</v>
      </c>
    </row>
    <row r="61" spans="2:16" outlineLevel="1">
      <c r="B61" s="25" t="s">
        <v>215</v>
      </c>
      <c r="C61" s="30"/>
      <c r="D61" s="74"/>
      <c r="E61" s="60">
        <f t="shared" ref="E61:J61" si="39">E43/E42</f>
        <v>0.24041073519688366</v>
      </c>
      <c r="F61" s="60">
        <f t="shared" si="39"/>
        <v>0.24830706554386886</v>
      </c>
      <c r="G61" s="60">
        <f t="shared" si="39"/>
        <v>0.25255102040816324</v>
      </c>
      <c r="H61" s="60">
        <f t="shared" si="39"/>
        <v>0.18250872100764251</v>
      </c>
      <c r="I61" s="60">
        <f t="shared" si="39"/>
        <v>0.23661904761904765</v>
      </c>
      <c r="J61" s="60">
        <f t="shared" si="39"/>
        <v>0.25540294099000149</v>
      </c>
      <c r="K61" s="95">
        <f t="array" ref="K61">SUMPRODUCT((D61:J61 &gt; 0) * D61:J61, D$55:J$55) / SUM((D61:J61 &gt; 0) * D$55:J$55)</f>
        <v>0.23923892728431698</v>
      </c>
      <c r="L61" s="95">
        <f t="array" ref="L61">SUMPRODUCT((E61:K61 &gt; 0) * E61:K61, E$55:K$55) / SUM((E61:K61 &gt; 0) * E$55:K$55)</f>
        <v>0.23923892728431698</v>
      </c>
      <c r="M61" s="95">
        <f t="shared" si="38"/>
        <v>0.23923892728431698</v>
      </c>
      <c r="N61" s="95">
        <f t="shared" si="38"/>
        <v>0.23923892728431698</v>
      </c>
      <c r="O61" s="95">
        <f t="shared" si="38"/>
        <v>0.23923892728431698</v>
      </c>
      <c r="P61" s="95">
        <f t="shared" si="38"/>
        <v>0.23923892728431698</v>
      </c>
    </row>
    <row r="62" spans="2:16" outlineLevel="1"/>
    <row r="63" spans="2:16" outlineLevel="1">
      <c r="B63" s="2"/>
    </row>
    <row r="64" spans="2:16" ht="26">
      <c r="B64" s="49" t="s">
        <v>247</v>
      </c>
    </row>
    <row r="65" spans="1:16" outlineLevel="1">
      <c r="B65" s="113" t="s">
        <v>216</v>
      </c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</row>
    <row r="66" spans="1:16" outlineLevel="1">
      <c r="B66" s="109" t="s">
        <v>206</v>
      </c>
      <c r="C66" s="110"/>
      <c r="D66" s="107">
        <f>D$8</f>
        <v>42735</v>
      </c>
      <c r="E66" s="107">
        <f>E$8</f>
        <v>43100</v>
      </c>
      <c r="F66" s="107">
        <f t="shared" ref="F66:P66" si="40">F$8</f>
        <v>43465</v>
      </c>
      <c r="G66" s="107">
        <f t="shared" si="40"/>
        <v>43830</v>
      </c>
      <c r="H66" s="107">
        <f t="shared" si="40"/>
        <v>44196</v>
      </c>
      <c r="I66" s="107">
        <f t="shared" si="40"/>
        <v>44561</v>
      </c>
      <c r="J66" s="107">
        <f t="shared" si="40"/>
        <v>44926</v>
      </c>
      <c r="K66" s="107">
        <f t="shared" si="40"/>
        <v>45291</v>
      </c>
      <c r="L66" s="108">
        <f t="shared" si="40"/>
        <v>45657</v>
      </c>
      <c r="M66" s="108">
        <f t="shared" si="40"/>
        <v>46022</v>
      </c>
      <c r="N66" s="108">
        <f t="shared" si="40"/>
        <v>46387</v>
      </c>
      <c r="O66" s="108">
        <f t="shared" si="40"/>
        <v>46752</v>
      </c>
      <c r="P66" s="108">
        <f t="shared" si="40"/>
        <v>47118</v>
      </c>
    </row>
    <row r="67" spans="1:16" outlineLevel="1">
      <c r="A67" s="54"/>
      <c r="B67" s="6" t="s">
        <v>217</v>
      </c>
      <c r="C67" s="39"/>
      <c r="D67" s="72"/>
      <c r="E67" s="50">
        <f>E41</f>
        <v>221.76499999999999</v>
      </c>
      <c r="F67" s="50">
        <f>F41</f>
        <v>236.791</v>
      </c>
      <c r="G67" s="50">
        <f>G41</f>
        <v>290.64</v>
      </c>
      <c r="H67" s="50">
        <f>H41</f>
        <v>402.09</v>
      </c>
      <c r="I67" s="50">
        <f>I41</f>
        <v>422.36700000000002</v>
      </c>
      <c r="J67" s="50">
        <f>J41</f>
        <v>375.08199999999999</v>
      </c>
      <c r="K67" s="90">
        <f>K$32*K73</f>
        <v>447.95552856976394</v>
      </c>
      <c r="L67" s="90">
        <f>L$32*L73</f>
        <v>487.845033056842</v>
      </c>
      <c r="M67" s="90">
        <f>M$32*M73</f>
        <v>538.40687695975998</v>
      </c>
      <c r="N67" s="90">
        <f>N$32*N73</f>
        <v>603.35534170660026</v>
      </c>
      <c r="O67" s="90">
        <f>O$32*O73</f>
        <v>688.0680816304033</v>
      </c>
      <c r="P67" s="90">
        <f>P$32*P73</f>
        <v>800.50896633908724</v>
      </c>
    </row>
    <row r="68" spans="1:16" outlineLevel="1">
      <c r="A68" s="54"/>
      <c r="B68" s="25" t="s">
        <v>296</v>
      </c>
      <c r="C68" s="40"/>
      <c r="D68" s="78"/>
      <c r="E68" s="51">
        <f>INDEX('CF(MTX)'!$C$4:$K$100,MATCH($B68,'CF(MTX)'!$B$4:$B$100,0),MATCH(E$31,'CF(MTX)'!$C$3:$K$3,0))</f>
        <v>-220.86099999999999</v>
      </c>
      <c r="F68" s="51">
        <f>INDEX('CF(MTX)'!$C$4:$K$100,MATCH($B68,'CF(MTX)'!$B$4:$B$100,0),MATCH(F$31,'CF(MTX)'!$C$3:$K$3,0))</f>
        <v>-235.333</v>
      </c>
      <c r="G68" s="51">
        <f>INDEX('CF(MTX)'!$C$4:$K$100,MATCH($B68,'CF(MTX)'!$B$4:$B$100,0),MATCH(G$31,'CF(MTX)'!$C$3:$K$3,0))</f>
        <v>-337.904</v>
      </c>
      <c r="H68" s="51">
        <f>INDEX('CF(MTX)'!$C$4:$K$100,MATCH($B68,'CF(MTX)'!$B$4:$B$100,0),MATCH(H$31,'CF(MTX)'!$C$3:$K$3,0))</f>
        <v>-222.749</v>
      </c>
      <c r="I68" s="51">
        <f>INDEX('CF(MTX)'!$C$4:$K$100,MATCH($B68,'CF(MTX)'!$B$4:$B$100,0),MATCH(I$31,'CF(MTX)'!$C$3:$K$3,0))</f>
        <v>-309.92200000000003</v>
      </c>
      <c r="J68" s="51">
        <f>INDEX('CF(MTX)'!$C$4:$K$100,MATCH($B68,'CF(MTX)'!$B$4:$B$100,0),MATCH(J$31,'CF(MTX)'!$C$3:$K$3,0))</f>
        <v>-339.22590000000002</v>
      </c>
      <c r="K68" s="91">
        <f>K$32*K74</f>
        <v>-353.55210546443067</v>
      </c>
      <c r="L68" s="91">
        <f>L$32*L74</f>
        <v>-385.03518223851927</v>
      </c>
      <c r="M68" s="91">
        <f>M$32*M74</f>
        <v>-424.94147924330446</v>
      </c>
      <c r="N68" s="91">
        <f>N$32*N74</f>
        <v>-476.20251966676597</v>
      </c>
      <c r="O68" s="91">
        <f>O$32*O74</f>
        <v>-543.06265566139712</v>
      </c>
      <c r="P68" s="91">
        <f>P$32*P74</f>
        <v>-631.80742828640405</v>
      </c>
    </row>
    <row r="69" spans="1:16" outlineLevel="1">
      <c r="E69" s="126"/>
      <c r="F69" s="126"/>
      <c r="G69" s="126"/>
      <c r="H69" s="126"/>
      <c r="I69" s="126"/>
      <c r="J69" s="126"/>
      <c r="K69" s="126"/>
      <c r="L69" s="126"/>
      <c r="M69" s="126"/>
      <c r="N69" s="126"/>
      <c r="O69" s="126"/>
      <c r="P69" s="126"/>
    </row>
    <row r="70" spans="1:16" outlineLevel="1">
      <c r="B70" s="112" t="s">
        <v>214</v>
      </c>
      <c r="C70" s="112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</row>
    <row r="71" spans="1:16" outlineLevel="1">
      <c r="B71" s="109" t="s">
        <v>206</v>
      </c>
      <c r="C71" s="110"/>
      <c r="D71" s="107">
        <f>D$8</f>
        <v>42735</v>
      </c>
      <c r="E71" s="107">
        <f>E$8</f>
        <v>43100</v>
      </c>
      <c r="F71" s="107">
        <f t="shared" ref="F71:P71" si="41">F$8</f>
        <v>43465</v>
      </c>
      <c r="G71" s="107">
        <f t="shared" si="41"/>
        <v>43830</v>
      </c>
      <c r="H71" s="107">
        <f t="shared" si="41"/>
        <v>44196</v>
      </c>
      <c r="I71" s="107">
        <f t="shared" si="41"/>
        <v>44561</v>
      </c>
      <c r="J71" s="107">
        <f t="shared" si="41"/>
        <v>44926</v>
      </c>
      <c r="K71" s="108">
        <f t="shared" si="41"/>
        <v>45291</v>
      </c>
      <c r="L71" s="108">
        <f t="shared" si="41"/>
        <v>45657</v>
      </c>
      <c r="M71" s="108">
        <f t="shared" si="41"/>
        <v>46022</v>
      </c>
      <c r="N71" s="108">
        <f t="shared" si="41"/>
        <v>46387</v>
      </c>
      <c r="O71" s="108">
        <f t="shared" si="41"/>
        <v>46752</v>
      </c>
      <c r="P71" s="108">
        <f t="shared" si="41"/>
        <v>47118</v>
      </c>
    </row>
    <row r="72" spans="1:16" outlineLevel="1">
      <c r="B72" s="66" t="s">
        <v>292</v>
      </c>
      <c r="C72" s="132">
        <v>0.5</v>
      </c>
      <c r="D72" s="77"/>
      <c r="E72" s="68">
        <f>(1-$J72)*$C72^5</f>
        <v>2.0312500000000001E-2</v>
      </c>
      <c r="F72" s="68">
        <f>(1-$J72)*$C72^4</f>
        <v>4.0625000000000001E-2</v>
      </c>
      <c r="G72" s="68">
        <f>(1-$J72)*$C72^3</f>
        <v>8.1250000000000003E-2</v>
      </c>
      <c r="H72" s="68">
        <f>(1-$J72)*$C72^2</f>
        <v>0.16250000000000001</v>
      </c>
      <c r="I72" s="68">
        <f>(1-$J72)*$C72^1</f>
        <v>0.32500000000000001</v>
      </c>
      <c r="J72" s="133">
        <v>0.35</v>
      </c>
      <c r="K72" s="151"/>
      <c r="L72" s="67"/>
      <c r="M72" s="67"/>
      <c r="N72" s="67"/>
      <c r="O72" s="67"/>
      <c r="P72" s="67"/>
    </row>
    <row r="73" spans="1:16" outlineLevel="1">
      <c r="B73" s="127" t="s">
        <v>305</v>
      </c>
      <c r="C73" s="131"/>
      <c r="D73" s="129"/>
      <c r="E73" s="128">
        <f>E67/E32</f>
        <v>3.8957194779825489E-2</v>
      </c>
      <c r="F73" s="128">
        <f>F67/F32</f>
        <v>4.3901037219964981E-2</v>
      </c>
      <c r="G73" s="128">
        <f>G67/G32</f>
        <v>5.6066891366346898E-2</v>
      </c>
      <c r="H73" s="128">
        <f>H67/H32</f>
        <v>8.8509016323616907E-2</v>
      </c>
      <c r="I73" s="128">
        <f>I67/I32</f>
        <v>8.5243610114831544E-2</v>
      </c>
      <c r="J73" s="128">
        <f>J67/J32</f>
        <v>6.6791816069553714E-2</v>
      </c>
      <c r="K73" s="130">
        <f>SUMPRODUCT(E73:J73,E$72:J$72)/SUM(E$72:J$72)</f>
        <v>7.4099400720937819E-2</v>
      </c>
      <c r="L73" s="130">
        <f t="shared" ref="L73:P74" si="42">K73</f>
        <v>7.4099400720937819E-2</v>
      </c>
      <c r="M73" s="130">
        <f t="shared" si="42"/>
        <v>7.4099400720937819E-2</v>
      </c>
      <c r="N73" s="130">
        <f t="shared" si="42"/>
        <v>7.4099400720937819E-2</v>
      </c>
      <c r="O73" s="130">
        <f t="shared" si="42"/>
        <v>7.4099400720937819E-2</v>
      </c>
      <c r="P73" s="130">
        <f t="shared" si="42"/>
        <v>7.4099400720937819E-2</v>
      </c>
    </row>
    <row r="74" spans="1:16" outlineLevel="1">
      <c r="B74" s="25" t="s">
        <v>306</v>
      </c>
      <c r="C74" s="55"/>
      <c r="D74" s="80"/>
      <c r="E74" s="35">
        <f>E68/E32</f>
        <v>-3.8798390170978456E-2</v>
      </c>
      <c r="F74" s="35">
        <f>F68/F32</f>
        <v>-4.3630724107276114E-2</v>
      </c>
      <c r="G74" s="35">
        <f>G68/G32</f>
        <v>-6.5184513006654565E-2</v>
      </c>
      <c r="H74" s="35">
        <f>H68/H32</f>
        <v>-4.9032044758808582E-2</v>
      </c>
      <c r="I74" s="35">
        <f>I68/I32</f>
        <v>-6.2549560297108495E-2</v>
      </c>
      <c r="J74" s="35">
        <f>J68/J32</f>
        <v>-6.0406828157119841E-2</v>
      </c>
      <c r="K74" s="95">
        <f>SUMPRODUCT(E74:J74,E$72:J$72)/SUM(E$72:J$72)</f>
        <v>-5.8483482104094806E-2</v>
      </c>
      <c r="L74" s="95">
        <f t="shared" si="42"/>
        <v>-5.8483482104094806E-2</v>
      </c>
      <c r="M74" s="95">
        <f t="shared" si="42"/>
        <v>-5.8483482104094806E-2</v>
      </c>
      <c r="N74" s="95">
        <f t="shared" si="42"/>
        <v>-5.8483482104094806E-2</v>
      </c>
      <c r="O74" s="95">
        <f t="shared" si="42"/>
        <v>-5.8483482104094806E-2</v>
      </c>
      <c r="P74" s="95">
        <f t="shared" si="42"/>
        <v>-5.8483482104094806E-2</v>
      </c>
    </row>
    <row r="75" spans="1:16" outlineLevel="1">
      <c r="B75" s="6"/>
      <c r="C75" s="23"/>
      <c r="D75" s="23"/>
      <c r="E75" s="23"/>
      <c r="F75" s="23"/>
      <c r="G75" s="23"/>
      <c r="H75" s="23"/>
      <c r="I75" s="23"/>
      <c r="J75" s="23"/>
      <c r="K75" s="23"/>
    </row>
    <row r="76" spans="1:16" outlineLevel="1">
      <c r="B76" s="6"/>
      <c r="C76" s="23"/>
      <c r="D76" s="23"/>
      <c r="E76" s="23"/>
      <c r="F76" s="23"/>
      <c r="G76" s="23"/>
      <c r="H76" s="23"/>
      <c r="I76" s="23"/>
      <c r="J76" s="23"/>
      <c r="K76" s="23"/>
    </row>
    <row r="77" spans="1:16" ht="26">
      <c r="B77" s="49" t="s">
        <v>248</v>
      </c>
    </row>
    <row r="78" spans="1:16" outlineLevel="1">
      <c r="B78" s="112" t="s">
        <v>229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</row>
    <row r="79" spans="1:16" outlineLevel="1">
      <c r="B79" s="104" t="s">
        <v>206</v>
      </c>
      <c r="C79" s="105"/>
      <c r="D79" s="107">
        <f>D$8</f>
        <v>42735</v>
      </c>
      <c r="E79" s="107">
        <f>E$8</f>
        <v>43100</v>
      </c>
      <c r="F79" s="107">
        <f t="shared" ref="F79:P79" si="43">F$8</f>
        <v>43465</v>
      </c>
      <c r="G79" s="107">
        <f t="shared" si="43"/>
        <v>43830</v>
      </c>
      <c r="H79" s="107">
        <f t="shared" si="43"/>
        <v>44196</v>
      </c>
      <c r="I79" s="107">
        <f t="shared" si="43"/>
        <v>44561</v>
      </c>
      <c r="J79" s="107">
        <f t="shared" si="43"/>
        <v>44926</v>
      </c>
      <c r="K79" s="107">
        <f t="shared" si="43"/>
        <v>45291</v>
      </c>
      <c r="L79" s="108">
        <f t="shared" si="43"/>
        <v>45657</v>
      </c>
      <c r="M79" s="108">
        <f t="shared" si="43"/>
        <v>46022</v>
      </c>
      <c r="N79" s="108">
        <f t="shared" si="43"/>
        <v>46387</v>
      </c>
      <c r="O79" s="108">
        <f t="shared" si="43"/>
        <v>46752</v>
      </c>
      <c r="P79" s="108">
        <f t="shared" si="43"/>
        <v>47118</v>
      </c>
    </row>
    <row r="80" spans="1:16" outlineLevel="1">
      <c r="B80" s="6" t="s">
        <v>230</v>
      </c>
      <c r="C80" s="39"/>
      <c r="D80" s="22">
        <f>INDEX('BS(MTX)'!$C$4:$K$100,MATCH($B80,'BS(MTX)'!$B$4:$B$100,0),MATCH(D$79,'BS(MTX)'!$C$3:$K$3,0))</f>
        <v>789.22699999999998</v>
      </c>
      <c r="E80" s="22">
        <f>INDEX('BS(MTX)'!$C$4:$K$100,MATCH($B80,'BS(MTX)'!$B$4:$B$100,0),MATCH(E$79,'BS(MTX)'!$C$3:$K$3,0))</f>
        <v>868.29700000000003</v>
      </c>
      <c r="F80" s="22">
        <f>INDEX('BS(MTX)'!$C$4:$K$100,MATCH($B80,'BS(MTX)'!$B$4:$B$100,0),MATCH(F$79,'BS(MTX)'!$C$3:$K$3,0))</f>
        <v>1292.4860000000001</v>
      </c>
      <c r="G80" s="22">
        <f>INDEX('BS(MTX)'!$C$4:$K$100,MATCH($B80,'BS(MTX)'!$B$4:$B$100,0),MATCH(G$79,'BS(MTX)'!$C$3:$K$3,0))</f>
        <v>1163.232</v>
      </c>
      <c r="H80" s="22">
        <f>INDEX('BS(MTX)'!$C$4:$K$100,MATCH($B80,'BS(MTX)'!$B$4:$B$100,0),MATCH(H$79,'BS(MTX)'!$C$3:$K$3,0))</f>
        <v>1154.865</v>
      </c>
      <c r="I80" s="22">
        <f>INDEX('BS(MTX)'!$C$4:$K$100,MATCH($B80,'BS(MTX)'!$B$4:$B$100,0),MATCH(I$79,'BS(MTX)'!$C$3:$K$3,0))</f>
        <v>1224.509</v>
      </c>
      <c r="J80" s="22">
        <f>INDEX('BS(MTX)'!$C$4:$K$100,MATCH($B80,'BS(MTX)'!$B$4:$B$100,0),MATCH(J$79,'BS(MTX)'!$C$3:$K$3,0))</f>
        <v>1205.318</v>
      </c>
      <c r="K80" s="96">
        <f t="shared" ref="K80" si="44">K93*K90/360</f>
        <v>1405.7756115260497</v>
      </c>
      <c r="L80" s="96">
        <f t="shared" ref="L80:P81" si="45">L93*L90/360</f>
        <v>1530.9569944700938</v>
      </c>
      <c r="M80" s="96">
        <f t="shared" si="45"/>
        <v>1689.6303504156035</v>
      </c>
      <c r="N80" s="96">
        <f t="shared" si="45"/>
        <v>1893.4518503727095</v>
      </c>
      <c r="O80" s="96">
        <f t="shared" si="45"/>
        <v>2159.2976680382567</v>
      </c>
      <c r="P80" s="96">
        <f t="shared" si="45"/>
        <v>2512.1600469591217</v>
      </c>
    </row>
    <row r="81" spans="2:16" outlineLevel="1">
      <c r="B81" s="6" t="s">
        <v>48</v>
      </c>
      <c r="C81" s="39"/>
      <c r="D81" s="22">
        <f>INDEX('BS(MTX)'!$C$4:$K$100,MATCH($B81,'BS(MTX)'!$B$4:$B$100,0),MATCH(D$79,'BS(MTX)'!$C$3:$K$3,0))</f>
        <v>1131.72</v>
      </c>
      <c r="E81" s="22">
        <f>INDEX('BS(MTX)'!$C$4:$K$100,MATCH($B81,'BS(MTX)'!$B$4:$B$100,0),MATCH(E$79,'BS(MTX)'!$C$3:$K$3,0))</f>
        <v>1127.9259999999999</v>
      </c>
      <c r="F81" s="22">
        <f>INDEX('BS(MTX)'!$C$4:$K$100,MATCH($B81,'BS(MTX)'!$B$4:$B$100,0),MATCH(F$79,'BS(MTX)'!$C$3:$K$3,0))</f>
        <v>1176.04</v>
      </c>
      <c r="G81" s="22">
        <f>INDEX('BS(MTX)'!$C$4:$K$100,MATCH($B81,'BS(MTX)'!$B$4:$B$100,0),MATCH(G$79,'BS(MTX)'!$C$3:$K$3,0))</f>
        <v>1432.0319999999999</v>
      </c>
      <c r="H81" s="22">
        <f>INDEX('BS(MTX)'!$C$4:$K$100,MATCH($B81,'BS(MTX)'!$B$4:$B$100,0),MATCH(H$79,'BS(MTX)'!$C$3:$K$3,0))</f>
        <v>1459.8589999999999</v>
      </c>
      <c r="I81" s="22">
        <f>INDEX('BS(MTX)'!$C$4:$K$100,MATCH($B81,'BS(MTX)'!$B$4:$B$100,0),MATCH(I$79,'BS(MTX)'!$C$3:$K$3,0))</f>
        <v>1632.6780000000001</v>
      </c>
      <c r="J81" s="22">
        <f>INDEX('BS(MTX)'!$C$4:$K$100,MATCH($B81,'BS(MTX)'!$B$4:$B$100,0),MATCH(J$79,'BS(MTX)'!$C$3:$K$3,0))</f>
        <v>1595.15</v>
      </c>
      <c r="K81" s="96">
        <f t="shared" ref="K81" si="46">K94*K91/360</f>
        <v>1808.2754900987059</v>
      </c>
      <c r="L81" s="96">
        <f t="shared" si="45"/>
        <v>1968.0694043706774</v>
      </c>
      <c r="M81" s="96">
        <f t="shared" si="45"/>
        <v>2170.6907120638662</v>
      </c>
      <c r="N81" s="96">
        <f t="shared" si="45"/>
        <v>2431.0245184448804</v>
      </c>
      <c r="O81" s="96">
        <f t="shared" si="45"/>
        <v>2770.6165010016807</v>
      </c>
      <c r="P81" s="96">
        <f t="shared" si="45"/>
        <v>3221.3657169014182</v>
      </c>
    </row>
    <row r="82" spans="2:16" outlineLevel="1">
      <c r="B82" s="25" t="s">
        <v>186</v>
      </c>
      <c r="C82" s="40"/>
      <c r="D82" s="36">
        <f t="shared" ref="D82" si="47">D85-SUM(D80:D81,D84)</f>
        <v>483.58399999999983</v>
      </c>
      <c r="E82" s="36">
        <f>E85-SUM(E80:E81,E84)</f>
        <v>558.82000000000016</v>
      </c>
      <c r="F82" s="36">
        <f t="shared" ref="F82:K82" si="48">F85-SUM(F80:F81,F84)</f>
        <v>1068.9230000000002</v>
      </c>
      <c r="G82" s="36">
        <f t="shared" si="48"/>
        <v>1222.7039999999997</v>
      </c>
      <c r="H82" s="36">
        <f t="shared" si="48"/>
        <v>1040.6359999999995</v>
      </c>
      <c r="I82" s="36">
        <f t="shared" si="48"/>
        <v>1119.2120000000004</v>
      </c>
      <c r="J82" s="36">
        <f t="shared" si="48"/>
        <v>1257.9989999999998</v>
      </c>
      <c r="K82" s="97">
        <f>AVERAGE(D82:J82)</f>
        <v>964.55399999999997</v>
      </c>
      <c r="L82" s="97">
        <f>AVERAGE(E82:K82)</f>
        <v>1033.2639999999999</v>
      </c>
      <c r="M82" s="97">
        <f>L82</f>
        <v>1033.2639999999999</v>
      </c>
      <c r="N82" s="97">
        <f>M82</f>
        <v>1033.2639999999999</v>
      </c>
      <c r="O82" s="97">
        <f>N82</f>
        <v>1033.2639999999999</v>
      </c>
      <c r="P82" s="97">
        <f>O82</f>
        <v>1033.2639999999999</v>
      </c>
    </row>
    <row r="83" spans="2:16" outlineLevel="1">
      <c r="B83" s="64" t="s">
        <v>287</v>
      </c>
      <c r="C83" s="65"/>
      <c r="D83" s="88">
        <f t="shared" ref="D83" si="49">D85-D84</f>
        <v>2404.5309999999999</v>
      </c>
      <c r="E83" s="88">
        <f>E85-E84</f>
        <v>2555.0430000000001</v>
      </c>
      <c r="F83" s="88">
        <f t="shared" ref="F83:K83" si="50">F85-F84</f>
        <v>3537.4490000000001</v>
      </c>
      <c r="G83" s="88">
        <f t="shared" si="50"/>
        <v>3817.9679999999998</v>
      </c>
      <c r="H83" s="88">
        <f t="shared" si="50"/>
        <v>3655.3599999999997</v>
      </c>
      <c r="I83" s="88">
        <f t="shared" si="50"/>
        <v>3976.3990000000003</v>
      </c>
      <c r="J83" s="88">
        <f t="shared" si="50"/>
        <v>4058.4669999999996</v>
      </c>
      <c r="K83" s="98">
        <f>SUM(K80:K82)</f>
        <v>4178.6051016247557</v>
      </c>
      <c r="L83" s="98">
        <f>SUM(L80:L82)</f>
        <v>4532.2903988407716</v>
      </c>
      <c r="M83" s="98">
        <f t="shared" ref="M83:P83" si="51">SUM(M80:M82)</f>
        <v>4893.5850624794693</v>
      </c>
      <c r="N83" s="98">
        <f t="shared" si="51"/>
        <v>5357.74036881759</v>
      </c>
      <c r="O83" s="98">
        <f t="shared" si="51"/>
        <v>5963.1781690399375</v>
      </c>
      <c r="P83" s="98">
        <f t="shared" si="51"/>
        <v>6766.78976386054</v>
      </c>
    </row>
    <row r="84" spans="2:16" outlineLevel="1">
      <c r="B84" s="6" t="s">
        <v>36</v>
      </c>
      <c r="C84" s="61"/>
      <c r="D84" s="62">
        <f>INDEX('BS(MTX)'!$C$4:$K$100,MATCH($B84,'BS(MTX)'!$B$4:$B$100,0),MATCH(D$79,'BS(MTX)'!$C$3:$K$3,0))</f>
        <v>404.24099999999999</v>
      </c>
      <c r="E84" s="62">
        <f>INDEX('BS(MTX)'!$C$4:$K$100,MATCH($B84,'BS(MTX)'!$B$4:$B$100,0),MATCH(E$79,'BS(MTX)'!$C$3:$K$3,0))</f>
        <v>247.875</v>
      </c>
      <c r="F84" s="62">
        <f>INDEX('BS(MTX)'!$C$4:$K$100,MATCH($B84,'BS(MTX)'!$B$4:$B$100,0),MATCH(F$79,'BS(MTX)'!$C$3:$K$3,0))</f>
        <v>164.86799999999999</v>
      </c>
      <c r="G84" s="62">
        <f>INDEX('BS(MTX)'!$C$4:$K$100,MATCH($B84,'BS(MTX)'!$B$4:$B$100,0),MATCH(G$79,'BS(MTX)'!$C$3:$K$3,0))</f>
        <v>225.56800000000001</v>
      </c>
      <c r="H84" s="62">
        <f>INDEX('BS(MTX)'!$C$4:$K$100,MATCH($B84,'BS(MTX)'!$B$4:$B$100,0),MATCH(H$79,'BS(MTX)'!$C$3:$K$3,0))</f>
        <v>998.37</v>
      </c>
      <c r="I84" s="62">
        <f>INDEX('BS(MTX)'!$C$4:$K$100,MATCH($B84,'BS(MTX)'!$B$4:$B$100,0),MATCH(I$79,'BS(MTX)'!$C$3:$K$3,0))</f>
        <v>1063.607</v>
      </c>
      <c r="J84" s="62">
        <f>INDEX('BS(MTX)'!$C$4:$K$100,MATCH($B84,'BS(MTX)'!$B$4:$B$100,0),MATCH(J$79,'BS(MTX)'!$C$3:$K$3,0))</f>
        <v>1299.0889999999999</v>
      </c>
      <c r="K84" s="91">
        <f>K85-K83</f>
        <v>1660.2887517636755</v>
      </c>
      <c r="L84" s="91">
        <f>L85-L83</f>
        <v>1800.8188344947803</v>
      </c>
      <c r="M84" s="91">
        <f t="shared" ref="M84:P84" si="52">M85-M83</f>
        <v>1944.3723533181619</v>
      </c>
      <c r="N84" s="91">
        <f t="shared" si="52"/>
        <v>2128.7955795964626</v>
      </c>
      <c r="O84" s="91">
        <f t="shared" si="52"/>
        <v>2369.3547004406073</v>
      </c>
      <c r="P84" s="91">
        <f t="shared" si="52"/>
        <v>2688.6543851963479</v>
      </c>
    </row>
    <row r="85" spans="2:16" outlineLevel="1">
      <c r="B85" s="44" t="s">
        <v>286</v>
      </c>
      <c r="C85" s="63"/>
      <c r="D85" s="89">
        <f>INDEX('BS(MTX)'!$C$4:$K$26,MATCH($B85,'BS(MTX)'!$B$4:$B$26,0),MATCH(D$79,'BS(MTX)'!$C$3:$K$3,0))</f>
        <v>2808.7719999999999</v>
      </c>
      <c r="E85" s="89">
        <f>INDEX('BS(MTX)'!$C$4:$K$26,MATCH($B85,'BS(MTX)'!$B$4:$B$26,0),MATCH(E$79,'BS(MTX)'!$C$3:$K$3,0))</f>
        <v>2802.9180000000001</v>
      </c>
      <c r="F85" s="89">
        <f>INDEX('BS(MTX)'!$C$4:$K$26,MATCH($B85,'BS(MTX)'!$B$4:$B$26,0),MATCH(F$79,'BS(MTX)'!$C$3:$K$3,0))</f>
        <v>3702.317</v>
      </c>
      <c r="G85" s="89">
        <f>INDEX('BS(MTX)'!$C$4:$K$26,MATCH($B85,'BS(MTX)'!$B$4:$B$26,0),MATCH(G$79,'BS(MTX)'!$C$3:$K$3,0))</f>
        <v>4043.5360000000001</v>
      </c>
      <c r="H85" s="89">
        <f>INDEX('BS(MTX)'!$C$4:$K$26,MATCH($B85,'BS(MTX)'!$B$4:$B$26,0),MATCH(H$79,'BS(MTX)'!$C$3:$K$3,0))</f>
        <v>4653.7299999999996</v>
      </c>
      <c r="I85" s="89">
        <f>INDEX('BS(MTX)'!$C$4:$K$26,MATCH($B85,'BS(MTX)'!$B$4:$B$26,0),MATCH(I$79,'BS(MTX)'!$C$3:$K$3,0))</f>
        <v>5040.0060000000003</v>
      </c>
      <c r="J85" s="89">
        <f>INDEX('BS(MTX)'!$C$4:$K$26,MATCH($B85,'BS(MTX)'!$B$4:$B$26,0),MATCH(J$79,'BS(MTX)'!$C$3:$K$3,0))</f>
        <v>5357.5559999999996</v>
      </c>
      <c r="K85" s="99">
        <f>K86*K96</f>
        <v>5838.8938533884311</v>
      </c>
      <c r="L85" s="99">
        <f>L86*L96</f>
        <v>6333.1092333355518</v>
      </c>
      <c r="M85" s="99">
        <f>M86*M96</f>
        <v>6837.9574157976313</v>
      </c>
      <c r="N85" s="99">
        <f>N86*N96</f>
        <v>7486.5359484140527</v>
      </c>
      <c r="O85" s="99">
        <f>O86*O96</f>
        <v>8332.5328694805448</v>
      </c>
      <c r="P85" s="99">
        <f>P86*P96</f>
        <v>9455.4441490568879</v>
      </c>
    </row>
    <row r="86" spans="2:16" outlineLevel="1">
      <c r="B86" s="37" t="s">
        <v>231</v>
      </c>
      <c r="C86" s="41"/>
      <c r="D86" s="38">
        <f>INDEX('BS(MTX)'!$C$4:$K$26,MATCH($B86,'BS(MTX)'!$B$4:$B$26,0),MATCH(D$79,'BS(MTX)'!$C$3:$K$3,0))</f>
        <v>2633.9290000000001</v>
      </c>
      <c r="E86" s="38">
        <f>INDEX('BS(MTX)'!$C$4:$K$26,MATCH($B86,'BS(MTX)'!$B$4:$B$26,0),MATCH(E$79,'BS(MTX)'!$C$3:$K$3,0))</f>
        <v>2411.6080000000002</v>
      </c>
      <c r="F86" s="38">
        <f>INDEX('BS(MTX)'!$C$4:$K$26,MATCH($B86,'BS(MTX)'!$B$4:$B$26,0),MATCH(F$79,'BS(MTX)'!$C$3:$K$3,0))</f>
        <v>3311.8780000000002</v>
      </c>
      <c r="G86" s="38">
        <f>INDEX('BS(MTX)'!$C$4:$K$26,MATCH($B86,'BS(MTX)'!$B$4:$B$26,0),MATCH(G$79,'BS(MTX)'!$C$3:$K$3,0))</f>
        <v>3599.5680000000002</v>
      </c>
      <c r="H86" s="38">
        <f>INDEX('BS(MTX)'!$C$4:$K$26,MATCH($B86,'BS(MTX)'!$B$4:$B$26,0),MATCH(H$79,'BS(MTX)'!$C$3:$K$3,0))</f>
        <v>3390.346</v>
      </c>
      <c r="I86" s="38">
        <f>INDEX('BS(MTX)'!$C$4:$K$26,MATCH($B86,'BS(MTX)'!$B$4:$B$26,0),MATCH(I$79,'BS(MTX)'!$C$3:$K$3,0))</f>
        <v>3690.0889999999999</v>
      </c>
      <c r="J86" s="38">
        <f>INDEX('BS(MTX)'!$C$4:$K$26,MATCH($B86,'BS(MTX)'!$B$4:$B$26,0),MATCH(J$79,'BS(MTX)'!$C$3:$K$3,0))</f>
        <v>3982.6080000000002</v>
      </c>
      <c r="K86" s="100">
        <f>IF($C$97&gt;$C$98,K98*K90,K97*K83)</f>
        <v>4406.75320897441</v>
      </c>
      <c r="L86" s="100">
        <f>IF($C$97&gt;$C$98,L98*L90,L97*L83)</f>
        <v>4779.7494076024441</v>
      </c>
      <c r="M86" s="100">
        <f>IF($C$97&gt;$C$98,M98*M90,M97*M83)</f>
        <v>5160.7704372652124</v>
      </c>
      <c r="N86" s="100">
        <f>IF($C$97&gt;$C$98,N98*N90,N97*N83)</f>
        <v>5650.2682088715073</v>
      </c>
      <c r="O86" s="100">
        <f>IF($C$97&gt;$C$98,O98*O90,O97*O83)</f>
        <v>6288.7623723728257</v>
      </c>
      <c r="P86" s="100">
        <f>IF($C$97&gt;$C$98,P98*P90,P97*P83)</f>
        <v>7136.2504427022686</v>
      </c>
    </row>
    <row r="87" spans="2:16" outlineLevel="1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2:16" outlineLevel="1">
      <c r="B88" s="112" t="s">
        <v>214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</row>
    <row r="89" spans="2:16" outlineLevel="1">
      <c r="B89" s="104" t="s">
        <v>206</v>
      </c>
      <c r="C89" s="105"/>
      <c r="D89" s="107">
        <f>D$8</f>
        <v>42735</v>
      </c>
      <c r="E89" s="107">
        <f>E$8</f>
        <v>43100</v>
      </c>
      <c r="F89" s="107">
        <f t="shared" ref="F89:P89" si="53">F$8</f>
        <v>43465</v>
      </c>
      <c r="G89" s="107">
        <f t="shared" si="53"/>
        <v>43830</v>
      </c>
      <c r="H89" s="107">
        <f t="shared" si="53"/>
        <v>44196</v>
      </c>
      <c r="I89" s="107">
        <f t="shared" si="53"/>
        <v>44561</v>
      </c>
      <c r="J89" s="107">
        <f t="shared" si="53"/>
        <v>44926</v>
      </c>
      <c r="K89" s="108">
        <f t="shared" si="53"/>
        <v>45291</v>
      </c>
      <c r="L89" s="108">
        <f t="shared" si="53"/>
        <v>45657</v>
      </c>
      <c r="M89" s="108">
        <f t="shared" si="53"/>
        <v>46022</v>
      </c>
      <c r="N89" s="108">
        <f t="shared" si="53"/>
        <v>46387</v>
      </c>
      <c r="O89" s="108">
        <f t="shared" si="53"/>
        <v>46752</v>
      </c>
      <c r="P89" s="108">
        <f t="shared" si="53"/>
        <v>47118</v>
      </c>
    </row>
    <row r="90" spans="2:16" outlineLevel="1">
      <c r="B90" s="6" t="s">
        <v>12</v>
      </c>
      <c r="C90" s="39"/>
      <c r="D90" s="72"/>
      <c r="E90" s="22">
        <f>E32</f>
        <v>5692.53</v>
      </c>
      <c r="F90" s="22">
        <f>F32</f>
        <v>5393.7449999999999</v>
      </c>
      <c r="G90" s="22">
        <f>G32</f>
        <v>5183.808</v>
      </c>
      <c r="H90" s="22">
        <f>H32</f>
        <v>4542.9269999999997</v>
      </c>
      <c r="I90" s="22">
        <f>I32</f>
        <v>4954.8230000000003</v>
      </c>
      <c r="J90" s="22">
        <f>J32</f>
        <v>5615.6880000000001</v>
      </c>
      <c r="K90" s="96">
        <f>K32</f>
        <v>6045.3326776121667</v>
      </c>
      <c r="L90" s="96">
        <f>L32</f>
        <v>6583.6569298865406</v>
      </c>
      <c r="M90" s="96">
        <f>M32</f>
        <v>7266.008519926203</v>
      </c>
      <c r="N90" s="96">
        <f>N32</f>
        <v>8142.513108558971</v>
      </c>
      <c r="O90" s="96">
        <f>O32</f>
        <v>9285.7442156881043</v>
      </c>
      <c r="P90" s="96">
        <f>P32</f>
        <v>10803.17733410349</v>
      </c>
    </row>
    <row r="91" spans="2:16" outlineLevel="1">
      <c r="B91" s="6" t="s">
        <v>207</v>
      </c>
      <c r="C91" s="39"/>
      <c r="D91" s="72"/>
      <c r="E91" s="22">
        <f>E33</f>
        <v>4822.3119999999999</v>
      </c>
      <c r="F91" s="22">
        <f>F33</f>
        <v>4388.3599999999997</v>
      </c>
      <c r="G91" s="22">
        <f>G33</f>
        <v>4140.7520000000004</v>
      </c>
      <c r="H91" s="22">
        <f>H33</f>
        <v>3979.7730000000001</v>
      </c>
      <c r="I91" s="22">
        <f>I33</f>
        <v>4260.3429999999998</v>
      </c>
      <c r="J91" s="22">
        <f>J33</f>
        <v>4714.8599999999997</v>
      </c>
      <c r="K91" s="96">
        <f>K33</f>
        <v>5115.5202143947354</v>
      </c>
      <c r="L91" s="96">
        <f>L33</f>
        <v>5567.5691433723159</v>
      </c>
      <c r="M91" s="96">
        <f>M33</f>
        <v>6140.7746096008177</v>
      </c>
      <c r="N91" s="96">
        <f>N33</f>
        <v>6877.2458255877746</v>
      </c>
      <c r="O91" s="96">
        <f>O33</f>
        <v>7837.9344269252124</v>
      </c>
      <c r="P91" s="96">
        <f>P33</f>
        <v>9113.0812384499441</v>
      </c>
    </row>
    <row r="92" spans="2:16" outlineLevel="1">
      <c r="B92" s="66" t="s">
        <v>292</v>
      </c>
      <c r="C92" s="132">
        <v>0.5</v>
      </c>
      <c r="D92" s="77"/>
      <c r="E92" s="68">
        <f>(1-$J92)*$C92^5</f>
        <v>2.0312500000000001E-2</v>
      </c>
      <c r="F92" s="68">
        <f>(1-$J92)*$C92^4</f>
        <v>4.0625000000000001E-2</v>
      </c>
      <c r="G92" s="68">
        <f>(1-$J92)*$C92^3</f>
        <v>8.1250000000000003E-2</v>
      </c>
      <c r="H92" s="68">
        <f>(1-$J92)*$C92^2</f>
        <v>0.16250000000000001</v>
      </c>
      <c r="I92" s="68">
        <f>(1-$J92)*$C92^1</f>
        <v>0.32500000000000001</v>
      </c>
      <c r="J92" s="133">
        <v>0.35</v>
      </c>
      <c r="K92" s="9"/>
      <c r="L92" s="67"/>
      <c r="M92" s="67"/>
      <c r="N92" s="67"/>
      <c r="O92" s="67"/>
      <c r="P92" s="67"/>
    </row>
    <row r="93" spans="2:16" outlineLevel="1">
      <c r="B93" s="6" t="s">
        <v>232</v>
      </c>
      <c r="C93" s="45"/>
      <c r="D93" s="81"/>
      <c r="E93" s="43">
        <f t="shared" ref="E93:J94" si="54">E80/E90*360</f>
        <v>54.911773850994209</v>
      </c>
      <c r="F93" s="43">
        <f t="shared" si="54"/>
        <v>86.265657720192564</v>
      </c>
      <c r="G93" s="43">
        <f t="shared" si="54"/>
        <v>80.782991962665278</v>
      </c>
      <c r="H93" s="43">
        <f t="shared" si="54"/>
        <v>91.516196496223685</v>
      </c>
      <c r="I93" s="43">
        <f t="shared" si="54"/>
        <v>88.96851411241127</v>
      </c>
      <c r="J93" s="43">
        <f t="shared" si="54"/>
        <v>77.268267040476601</v>
      </c>
      <c r="K93" s="101">
        <f t="shared" ref="K93:L98" si="55">SUMPRODUCT(D93:J93,D$72:J$72)/SUM(D$72:J$72)</f>
        <v>83.714039762204294</v>
      </c>
      <c r="L93" s="101">
        <f t="shared" si="55"/>
        <v>83.714039762204294</v>
      </c>
      <c r="M93" s="101">
        <f t="shared" ref="M93:P98" si="56">L93</f>
        <v>83.714039762204294</v>
      </c>
      <c r="N93" s="101">
        <f t="shared" si="56"/>
        <v>83.714039762204294</v>
      </c>
      <c r="O93" s="101">
        <f t="shared" si="56"/>
        <v>83.714039762204294</v>
      </c>
      <c r="P93" s="101">
        <f t="shared" si="56"/>
        <v>83.714039762204294</v>
      </c>
    </row>
    <row r="94" spans="2:16" outlineLevel="1">
      <c r="B94" s="6" t="s">
        <v>288</v>
      </c>
      <c r="C94" s="45"/>
      <c r="D94" s="81"/>
      <c r="E94" s="43">
        <f t="shared" si="54"/>
        <v>84.203046173702575</v>
      </c>
      <c r="F94" s="43">
        <f t="shared" si="54"/>
        <v>96.476679215014272</v>
      </c>
      <c r="G94" s="43">
        <f t="shared" si="54"/>
        <v>124.50190690000268</v>
      </c>
      <c r="H94" s="43">
        <f t="shared" si="54"/>
        <v>132.05507952337985</v>
      </c>
      <c r="I94" s="43">
        <f t="shared" si="54"/>
        <v>137.96168055013413</v>
      </c>
      <c r="J94" s="43">
        <f t="shared" si="54"/>
        <v>121.79661750295875</v>
      </c>
      <c r="K94" s="101">
        <f t="shared" si="55"/>
        <v>127.25571381845424</v>
      </c>
      <c r="L94" s="101">
        <f t="shared" si="55"/>
        <v>127.25571381845424</v>
      </c>
      <c r="M94" s="101">
        <f t="shared" si="56"/>
        <v>127.25571381845424</v>
      </c>
      <c r="N94" s="101">
        <f t="shared" si="56"/>
        <v>127.25571381845424</v>
      </c>
      <c r="O94" s="101">
        <f t="shared" si="56"/>
        <v>127.25571381845424</v>
      </c>
      <c r="P94" s="101">
        <f t="shared" si="56"/>
        <v>127.25571381845424</v>
      </c>
    </row>
    <row r="95" spans="2:16" outlineLevel="1">
      <c r="B95" s="6" t="s">
        <v>291</v>
      </c>
      <c r="C95" s="134">
        <f>_xlfn.STDEV.P(E95:K95)</f>
        <v>0.1142146791623265</v>
      </c>
      <c r="D95" s="82"/>
      <c r="E95" s="59">
        <f t="shared" ref="E95:J95" si="57">E83/E90</f>
        <v>0.44884137633003257</v>
      </c>
      <c r="F95" s="59">
        <f t="shared" si="57"/>
        <v>0.655842832762765</v>
      </c>
      <c r="G95" s="59">
        <f t="shared" si="57"/>
        <v>0.73651801918589577</v>
      </c>
      <c r="H95" s="59">
        <f t="shared" si="57"/>
        <v>0.80462662067869462</v>
      </c>
      <c r="I95" s="59">
        <f t="shared" si="57"/>
        <v>0.80253098849343363</v>
      </c>
      <c r="J95" s="59">
        <f t="shared" si="57"/>
        <v>0.72270165294083277</v>
      </c>
      <c r="K95" s="102">
        <f t="shared" si="55"/>
        <v>0.75546821843341927</v>
      </c>
      <c r="L95" s="102">
        <f t="shared" si="55"/>
        <v>0.75546821843341927</v>
      </c>
      <c r="M95" s="102">
        <f t="shared" si="56"/>
        <v>0.75546821843341927</v>
      </c>
      <c r="N95" s="102">
        <f t="shared" si="56"/>
        <v>0.75546821843341927</v>
      </c>
      <c r="O95" s="102">
        <f t="shared" si="56"/>
        <v>0.75546821843341927</v>
      </c>
      <c r="P95" s="102">
        <f t="shared" si="56"/>
        <v>0.75546821843341927</v>
      </c>
    </row>
    <row r="96" spans="2:16" outlineLevel="1">
      <c r="B96" s="6" t="s">
        <v>290</v>
      </c>
      <c r="C96" s="134">
        <f>_xlfn.STDEV.P(E96:K96)</f>
        <v>0.10940806689721189</v>
      </c>
      <c r="D96" s="82"/>
      <c r="E96" s="59">
        <f t="shared" ref="E96:J96" si="58">E85/E86</f>
        <v>1.1622610308142949</v>
      </c>
      <c r="F96" s="59">
        <f t="shared" si="58"/>
        <v>1.1178905140829463</v>
      </c>
      <c r="G96" s="59">
        <f t="shared" si="58"/>
        <v>1.1233392451538629</v>
      </c>
      <c r="H96" s="59">
        <f t="shared" si="58"/>
        <v>1.3726416123900038</v>
      </c>
      <c r="I96" s="59">
        <f t="shared" si="58"/>
        <v>1.365822341954354</v>
      </c>
      <c r="J96" s="59">
        <f t="shared" si="58"/>
        <v>1.3452380952380951</v>
      </c>
      <c r="K96" s="102">
        <f t="shared" si="55"/>
        <v>1.3249877123814078</v>
      </c>
      <c r="L96" s="102">
        <f t="shared" si="55"/>
        <v>1.3249877123814078</v>
      </c>
      <c r="M96" s="102">
        <f t="shared" si="56"/>
        <v>1.3249877123814078</v>
      </c>
      <c r="N96" s="102">
        <f t="shared" si="56"/>
        <v>1.3249877123814078</v>
      </c>
      <c r="O96" s="102">
        <f t="shared" si="56"/>
        <v>1.3249877123814078</v>
      </c>
      <c r="P96" s="102">
        <f t="shared" si="56"/>
        <v>1.3249877123814078</v>
      </c>
    </row>
    <row r="97" spans="2:16" outlineLevel="1">
      <c r="B97" s="6" t="s">
        <v>294</v>
      </c>
      <c r="C97" s="134">
        <f>_xlfn.STDEV.P(E97:K97)</f>
        <v>1.8560345251067853E-2</v>
      </c>
      <c r="D97" s="82"/>
      <c r="E97" s="59">
        <f t="shared" ref="E97:J97" si="59">E83/E86</f>
        <v>1.0594769133291977</v>
      </c>
      <c r="F97" s="59">
        <f t="shared" si="59"/>
        <v>1.0681096948619484</v>
      </c>
      <c r="G97" s="59">
        <f t="shared" si="59"/>
        <v>1.0606739475403715</v>
      </c>
      <c r="H97" s="59">
        <f t="shared" si="59"/>
        <v>1.0781672431073406</v>
      </c>
      <c r="I97" s="59">
        <f t="shared" si="59"/>
        <v>1.077588914522116</v>
      </c>
      <c r="J97" s="59">
        <f t="shared" si="59"/>
        <v>1.0190475688292695</v>
      </c>
      <c r="K97" s="102">
        <f t="shared" si="55"/>
        <v>1.0545991070706691</v>
      </c>
      <c r="L97" s="102">
        <f t="shared" si="55"/>
        <v>1.0545991070706691</v>
      </c>
      <c r="M97" s="102">
        <f t="shared" si="56"/>
        <v>1.0545991070706691</v>
      </c>
      <c r="N97" s="102">
        <f t="shared" si="56"/>
        <v>1.0545991070706691</v>
      </c>
      <c r="O97" s="102">
        <f t="shared" si="56"/>
        <v>1.0545991070706691</v>
      </c>
      <c r="P97" s="102">
        <f t="shared" si="56"/>
        <v>1.0545991070706691</v>
      </c>
    </row>
    <row r="98" spans="2:16" outlineLevel="1">
      <c r="B98" s="25" t="s">
        <v>289</v>
      </c>
      <c r="C98" s="135">
        <f t="shared" ref="C98" si="60">_xlfn.STDEV.P(E98:K98)</f>
        <v>0.10639221379678519</v>
      </c>
      <c r="D98" s="80"/>
      <c r="E98" s="60">
        <f t="shared" ref="E98:J98" si="61">E86/E90</f>
        <v>0.42364431983669831</v>
      </c>
      <c r="F98" s="60">
        <f t="shared" si="61"/>
        <v>0.6140219828708996</v>
      </c>
      <c r="G98" s="60">
        <f t="shared" si="61"/>
        <v>0.69438682914182015</v>
      </c>
      <c r="H98" s="60">
        <f t="shared" si="61"/>
        <v>0.74629110263052878</v>
      </c>
      <c r="I98" s="60">
        <f t="shared" si="61"/>
        <v>0.74474688601388983</v>
      </c>
      <c r="J98" s="60">
        <f t="shared" si="61"/>
        <v>0.70919324577861165</v>
      </c>
      <c r="K98" s="103">
        <f t="shared" si="55"/>
        <v>0.71604621506661592</v>
      </c>
      <c r="L98" s="103">
        <f t="shared" si="55"/>
        <v>0.71604621506661592</v>
      </c>
      <c r="M98" s="103">
        <f t="shared" si="56"/>
        <v>0.71604621506661592</v>
      </c>
      <c r="N98" s="103">
        <f t="shared" si="56"/>
        <v>0.71604621506661592</v>
      </c>
      <c r="O98" s="103">
        <f t="shared" si="56"/>
        <v>0.71604621506661592</v>
      </c>
      <c r="P98" s="103">
        <f t="shared" si="56"/>
        <v>0.71604621506661592</v>
      </c>
    </row>
    <row r="99" spans="2:16" outlineLevel="1"/>
    <row r="101" spans="2:16" ht="26">
      <c r="B101" s="49" t="s">
        <v>331</v>
      </c>
    </row>
    <row r="102" spans="2:16">
      <c r="B102" s="113" t="s">
        <v>332</v>
      </c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</row>
    <row r="103" spans="2:16">
      <c r="B103" s="109" t="s">
        <v>206</v>
      </c>
      <c r="C103" s="110"/>
      <c r="D103" s="107">
        <f>D$8</f>
        <v>42735</v>
      </c>
      <c r="E103" s="107">
        <f>E$8</f>
        <v>43100</v>
      </c>
      <c r="F103" s="107">
        <f t="shared" ref="F103:P103" si="62">F$8</f>
        <v>43465</v>
      </c>
      <c r="G103" s="107">
        <f t="shared" si="62"/>
        <v>43830</v>
      </c>
      <c r="H103" s="107">
        <f t="shared" si="62"/>
        <v>44196</v>
      </c>
      <c r="I103" s="107">
        <f t="shared" si="62"/>
        <v>44561</v>
      </c>
      <c r="J103" s="107">
        <f t="shared" si="62"/>
        <v>44926</v>
      </c>
      <c r="K103" s="107">
        <f t="shared" si="62"/>
        <v>45291</v>
      </c>
      <c r="L103" s="108">
        <f t="shared" si="62"/>
        <v>45657</v>
      </c>
      <c r="M103" s="108">
        <f t="shared" si="62"/>
        <v>46022</v>
      </c>
      <c r="N103" s="108">
        <f t="shared" si="62"/>
        <v>46387</v>
      </c>
      <c r="O103" s="108">
        <f t="shared" si="62"/>
        <v>46752</v>
      </c>
      <c r="P103" s="108">
        <f t="shared" si="62"/>
        <v>47118</v>
      </c>
    </row>
    <row r="104" spans="2:16">
      <c r="B104" s="66" t="s">
        <v>292</v>
      </c>
      <c r="C104" s="201">
        <v>0.5</v>
      </c>
      <c r="D104" s="68">
        <f>(1-$K104)*$C104^6</f>
        <v>1.015625E-2</v>
      </c>
      <c r="E104" s="68">
        <f>(1-$K104)*$C104^6</f>
        <v>1.015625E-2</v>
      </c>
      <c r="F104" s="68">
        <f>(1-$K104)*$C104^5</f>
        <v>2.0312500000000001E-2</v>
      </c>
      <c r="G104" s="68">
        <f>(1-$K104)*$C104^4</f>
        <v>4.0625000000000001E-2</v>
      </c>
      <c r="H104" s="68">
        <f>(1-$K104)*$C104^3</f>
        <v>8.1250000000000003E-2</v>
      </c>
      <c r="I104" s="68">
        <f>(1-$K104)*$C104^2</f>
        <v>0.16250000000000001</v>
      </c>
      <c r="J104" s="68">
        <f>(1-$K104)*$C104^1</f>
        <v>0.32500000000000001</v>
      </c>
      <c r="K104" s="133">
        <v>0.35</v>
      </c>
    </row>
    <row r="105" spans="2:16">
      <c r="B105" s="1" t="s">
        <v>333</v>
      </c>
      <c r="C105" s="4"/>
      <c r="D105" s="200">
        <v>116.96</v>
      </c>
      <c r="E105" s="200">
        <v>112.69</v>
      </c>
      <c r="F105" s="200">
        <v>110.27500000000001</v>
      </c>
      <c r="G105" s="200">
        <v>108.877</v>
      </c>
      <c r="H105" s="200">
        <v>103.202</v>
      </c>
      <c r="I105" s="200">
        <v>115.063</v>
      </c>
      <c r="J105" s="200">
        <v>131.11500000000001</v>
      </c>
      <c r="K105" s="200">
        <v>141.02500000000001</v>
      </c>
      <c r="L105" s="200">
        <f>SUMPRODUCT(D105:K105,D$104:K$104)/SUM(D$104:K$104)</f>
        <v>128.04949687499999</v>
      </c>
      <c r="M105" s="200">
        <f>L105</f>
        <v>128.04949687499999</v>
      </c>
      <c r="N105" s="200">
        <f>M105</f>
        <v>128.04949687499999</v>
      </c>
      <c r="O105" s="200">
        <f>N105</f>
        <v>128.04949687499999</v>
      </c>
      <c r="P105" s="200">
        <f>O105</f>
        <v>128.04949687499999</v>
      </c>
    </row>
    <row r="106" spans="2:16">
      <c r="B106" s="1" t="s">
        <v>334</v>
      </c>
      <c r="C106" s="4"/>
      <c r="D106" s="202">
        <v>8.5470000000000008E-3</v>
      </c>
      <c r="E106" s="202">
        <v>8.8500000000000002E-3</v>
      </c>
      <c r="F106" s="202">
        <v>9.0910000000000001E-3</v>
      </c>
      <c r="G106" s="202">
        <v>9.1739999999999999E-3</v>
      </c>
      <c r="H106" s="202">
        <v>9.7090000000000006E-3</v>
      </c>
      <c r="I106" s="202">
        <v>8.6960000000000006E-3</v>
      </c>
      <c r="J106" s="202">
        <v>7.6340000000000002E-3</v>
      </c>
      <c r="K106" s="202">
        <v>7.0920000000000002E-3</v>
      </c>
      <c r="L106" s="202">
        <v>7.8130000000000005E-3</v>
      </c>
      <c r="M106" s="202">
        <v>7.8130000000000005E-3</v>
      </c>
      <c r="N106" s="202">
        <v>7.8130000000000005E-3</v>
      </c>
      <c r="O106" s="202">
        <v>7.8130000000000005E-3</v>
      </c>
      <c r="P106" s="202">
        <v>7.8130000000000005E-3</v>
      </c>
    </row>
  </sheetData>
  <mergeCells count="5">
    <mergeCell ref="B13:C13"/>
    <mergeCell ref="E13:H13"/>
    <mergeCell ref="J13:P13"/>
    <mergeCell ref="L15:P15"/>
    <mergeCell ref="J17:J21"/>
  </mergeCells>
  <phoneticPr fontId="2"/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60AD-2B31-46CD-B9B3-588DDE107F74}">
  <sheetPr>
    <tabColor theme="1"/>
  </sheetPr>
  <dimension ref="A1"/>
  <sheetViews>
    <sheetView workbookViewId="0">
      <selection activeCell="E9" sqref="E9"/>
    </sheetView>
  </sheetViews>
  <sheetFormatPr defaultRowHeight="18"/>
  <sheetData/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57D2-E345-453C-AF88-47D9A6C437F5}">
  <dimension ref="B2:H35"/>
  <sheetViews>
    <sheetView showGridLines="0" zoomScale="60" zoomScaleNormal="60" workbookViewId="0">
      <selection activeCell="C33" sqref="B2:C33"/>
    </sheetView>
  </sheetViews>
  <sheetFormatPr defaultRowHeight="14.5"/>
  <cols>
    <col min="1" max="1" width="2.83203125" style="1" customWidth="1"/>
    <col min="2" max="2" width="48.6640625" style="1" customWidth="1"/>
    <col min="3" max="7" width="12.58203125" style="1" customWidth="1"/>
    <col min="8" max="16384" width="8.6640625" style="1"/>
  </cols>
  <sheetData>
    <row r="2" spans="2:8">
      <c r="B2" s="1" t="s">
        <v>88</v>
      </c>
      <c r="E2" s="1" t="s">
        <v>89</v>
      </c>
    </row>
    <row r="3" spans="2:8">
      <c r="B3" s="9" t="s">
        <v>90</v>
      </c>
      <c r="C3" s="9">
        <v>2019</v>
      </c>
      <c r="D3" s="9">
        <v>2020</v>
      </c>
      <c r="E3" s="9">
        <v>2021</v>
      </c>
      <c r="F3" s="9">
        <v>2022</v>
      </c>
      <c r="G3" s="9">
        <v>2023</v>
      </c>
    </row>
    <row r="4" spans="2:8">
      <c r="B4" s="1" t="s">
        <v>12</v>
      </c>
      <c r="C4" s="14">
        <v>1962308</v>
      </c>
      <c r="D4" s="14">
        <v>1925235</v>
      </c>
      <c r="E4" s="14">
        <v>1765146</v>
      </c>
      <c r="F4" s="14">
        <v>2154860</v>
      </c>
      <c r="G4" s="14">
        <v>3289634</v>
      </c>
    </row>
    <row r="5" spans="2:8">
      <c r="B5" s="1" t="s">
        <v>207</v>
      </c>
      <c r="C5" s="14">
        <v>1407345</v>
      </c>
      <c r="D5" s="14">
        <v>1344171</v>
      </c>
      <c r="E5" s="14">
        <v>1212624</v>
      </c>
      <c r="F5" s="14">
        <v>1766392</v>
      </c>
      <c r="G5" s="14">
        <v>2596462</v>
      </c>
    </row>
    <row r="6" spans="2:8">
      <c r="B6" s="1" t="s">
        <v>91</v>
      </c>
      <c r="C6" s="14">
        <v>554963</v>
      </c>
      <c r="D6" s="14">
        <v>581064</v>
      </c>
      <c r="E6" s="14">
        <v>552522</v>
      </c>
      <c r="F6" s="14">
        <v>388467</v>
      </c>
      <c r="G6" s="14">
        <v>693172</v>
      </c>
      <c r="H6" s="14"/>
    </row>
    <row r="7" spans="2:8">
      <c r="B7" s="1" t="s">
        <v>250</v>
      </c>
      <c r="C7" s="14">
        <v>461258</v>
      </c>
      <c r="D7" s="14">
        <v>479645</v>
      </c>
      <c r="E7" s="14">
        <v>474846</v>
      </c>
      <c r="F7" s="14">
        <v>260941</v>
      </c>
      <c r="G7" s="14">
        <v>271695</v>
      </c>
    </row>
    <row r="8" spans="2:8">
      <c r="B8" s="1" t="s">
        <v>92</v>
      </c>
      <c r="C8" s="14">
        <v>392466</v>
      </c>
      <c r="D8" s="14">
        <v>408730</v>
      </c>
      <c r="E8" s="14">
        <v>410167</v>
      </c>
    </row>
    <row r="9" spans="2:8">
      <c r="B9" s="1" t="s">
        <v>93</v>
      </c>
      <c r="C9" s="14">
        <v>68791</v>
      </c>
      <c r="D9" s="14">
        <v>70915</v>
      </c>
      <c r="E9" s="14">
        <v>64679</v>
      </c>
    </row>
    <row r="10" spans="2:8">
      <c r="B10" s="1" t="s">
        <v>209</v>
      </c>
      <c r="C10" s="14">
        <v>93704</v>
      </c>
      <c r="D10" s="14">
        <v>101418</v>
      </c>
      <c r="E10" s="14">
        <v>77675</v>
      </c>
      <c r="F10" s="14">
        <v>127525</v>
      </c>
      <c r="G10" s="14">
        <v>421477</v>
      </c>
    </row>
    <row r="11" spans="2:8">
      <c r="B11" s="1" t="s">
        <v>94</v>
      </c>
      <c r="C11" s="14">
        <v>13771</v>
      </c>
      <c r="D11" s="14">
        <v>20429</v>
      </c>
      <c r="E11" s="14">
        <v>21204</v>
      </c>
      <c r="F11" s="14">
        <v>49399</v>
      </c>
      <c r="G11" s="14">
        <v>28500</v>
      </c>
    </row>
    <row r="12" spans="2:8">
      <c r="B12" s="1" t="s">
        <v>95</v>
      </c>
      <c r="C12" s="14">
        <v>1612</v>
      </c>
      <c r="D12" s="14">
        <v>2330</v>
      </c>
      <c r="E12" s="14">
        <v>1586</v>
      </c>
      <c r="F12" s="14">
        <v>1032</v>
      </c>
      <c r="G12" s="14">
        <v>2463</v>
      </c>
    </row>
    <row r="13" spans="2:8">
      <c r="B13" s="1" t="s">
        <v>96</v>
      </c>
      <c r="C13" s="14">
        <v>2812</v>
      </c>
      <c r="D13" s="14">
        <v>5433</v>
      </c>
      <c r="E13" s="14">
        <v>2398</v>
      </c>
      <c r="F13" s="14">
        <v>1692</v>
      </c>
      <c r="G13" s="14">
        <v>2797</v>
      </c>
    </row>
    <row r="14" spans="2:8">
      <c r="B14" s="1" t="s">
        <v>97</v>
      </c>
      <c r="C14" s="14">
        <v>1668</v>
      </c>
      <c r="D14" s="1" t="s">
        <v>98</v>
      </c>
      <c r="E14" s="1" t="s">
        <v>98</v>
      </c>
    </row>
    <row r="15" spans="2:8">
      <c r="B15" s="1" t="s">
        <v>99</v>
      </c>
      <c r="C15" s="14">
        <v>2794</v>
      </c>
      <c r="D15" s="14">
        <v>5211</v>
      </c>
      <c r="E15" s="14">
        <v>1482</v>
      </c>
      <c r="F15" s="14">
        <v>3725</v>
      </c>
      <c r="G15" s="1" t="s">
        <v>98</v>
      </c>
    </row>
    <row r="16" spans="2:8">
      <c r="B16" s="1" t="s">
        <v>100</v>
      </c>
      <c r="C16" s="1" t="s">
        <v>98</v>
      </c>
      <c r="D16" s="1" t="s">
        <v>98</v>
      </c>
      <c r="E16" s="14">
        <v>1619</v>
      </c>
      <c r="F16" s="14">
        <v>14550</v>
      </c>
      <c r="G16" s="14">
        <v>5089</v>
      </c>
    </row>
    <row r="17" spans="2:7">
      <c r="B17" s="1" t="s">
        <v>113</v>
      </c>
      <c r="F17" s="14">
        <v>13725</v>
      </c>
      <c r="G17" s="14">
        <v>6639</v>
      </c>
    </row>
    <row r="18" spans="2:7">
      <c r="B18" s="1" t="s">
        <v>101</v>
      </c>
      <c r="C18" s="14">
        <v>4883</v>
      </c>
      <c r="D18" s="14">
        <v>7453</v>
      </c>
      <c r="E18" s="14">
        <v>14117</v>
      </c>
      <c r="F18" s="14">
        <v>14673</v>
      </c>
      <c r="G18" s="14">
        <v>11510</v>
      </c>
    </row>
    <row r="19" spans="2:7">
      <c r="B19" s="1" t="s">
        <v>102</v>
      </c>
      <c r="C19" s="14">
        <v>18089</v>
      </c>
      <c r="D19" s="14">
        <v>19202</v>
      </c>
      <c r="E19" s="14">
        <v>28379</v>
      </c>
      <c r="F19" s="14">
        <v>40444</v>
      </c>
      <c r="G19" s="14">
        <v>41130</v>
      </c>
    </row>
    <row r="20" spans="2:7">
      <c r="B20" s="1" t="s">
        <v>103</v>
      </c>
      <c r="C20" s="14">
        <v>11091</v>
      </c>
      <c r="D20" s="14">
        <v>11412</v>
      </c>
      <c r="E20" s="14">
        <v>12629</v>
      </c>
      <c r="F20" s="14">
        <v>14466</v>
      </c>
      <c r="G20" s="14">
        <v>15138</v>
      </c>
    </row>
    <row r="21" spans="2:7">
      <c r="B21" s="1" t="s">
        <v>114</v>
      </c>
      <c r="F21" s="1" t="s">
        <v>98</v>
      </c>
      <c r="G21" s="14">
        <v>4450</v>
      </c>
    </row>
    <row r="22" spans="2:7">
      <c r="B22" s="1" t="s">
        <v>115</v>
      </c>
      <c r="F22" s="1" t="s">
        <v>98</v>
      </c>
      <c r="G22" s="1" t="s">
        <v>98</v>
      </c>
    </row>
    <row r="23" spans="2:7">
      <c r="B23" s="1" t="s">
        <v>116</v>
      </c>
      <c r="F23" s="14">
        <v>11864</v>
      </c>
      <c r="G23" s="14">
        <v>10308</v>
      </c>
    </row>
    <row r="24" spans="2:7">
      <c r="B24" s="1" t="s">
        <v>104</v>
      </c>
      <c r="C24" s="14">
        <v>6997</v>
      </c>
      <c r="D24" s="14">
        <v>7789</v>
      </c>
      <c r="E24" s="14">
        <v>15750</v>
      </c>
      <c r="F24" s="14">
        <v>14113</v>
      </c>
      <c r="G24" s="14">
        <v>11233</v>
      </c>
    </row>
    <row r="25" spans="2:7">
      <c r="B25" s="1" t="s">
        <v>105</v>
      </c>
      <c r="C25" s="14">
        <v>89386</v>
      </c>
      <c r="D25" s="14">
        <v>102645</v>
      </c>
      <c r="E25" s="14">
        <v>70500</v>
      </c>
      <c r="F25" s="14">
        <v>136481</v>
      </c>
      <c r="G25" s="14">
        <v>408846</v>
      </c>
    </row>
    <row r="26" spans="2:7">
      <c r="B26" s="1" t="s">
        <v>106</v>
      </c>
      <c r="C26" s="14">
        <v>35727</v>
      </c>
      <c r="D26" s="14">
        <v>11627</v>
      </c>
      <c r="E26" s="14">
        <v>10406</v>
      </c>
      <c r="F26" s="14">
        <v>6344</v>
      </c>
      <c r="G26" s="14">
        <v>7301</v>
      </c>
    </row>
    <row r="27" spans="2:7">
      <c r="B27" s="1" t="s">
        <v>107</v>
      </c>
      <c r="C27" s="14">
        <v>7865</v>
      </c>
      <c r="D27" s="14">
        <v>46796</v>
      </c>
      <c r="E27" s="14">
        <v>14722</v>
      </c>
      <c r="F27" s="14">
        <v>6211</v>
      </c>
      <c r="G27" s="14">
        <v>8669</v>
      </c>
    </row>
    <row r="28" spans="2:7">
      <c r="B28" s="1" t="s">
        <v>108</v>
      </c>
      <c r="C28" s="14">
        <v>117248</v>
      </c>
      <c r="D28" s="14">
        <v>67476</v>
      </c>
      <c r="E28" s="14">
        <v>66184</v>
      </c>
      <c r="F28" s="14">
        <v>136614</v>
      </c>
      <c r="G28" s="14">
        <v>407479</v>
      </c>
    </row>
    <row r="29" spans="2:7">
      <c r="B29" s="11" t="s">
        <v>182</v>
      </c>
      <c r="C29" s="14">
        <f>SUM(C30:C32)</f>
        <v>32692</v>
      </c>
      <c r="D29" s="14">
        <f t="shared" ref="D29:G29" si="0">SUM(D30:D32)</f>
        <v>24183</v>
      </c>
      <c r="E29" s="14">
        <f t="shared" si="0"/>
        <v>16678</v>
      </c>
      <c r="F29" s="14">
        <f t="shared" si="0"/>
        <v>40910</v>
      </c>
      <c r="G29" s="14">
        <f t="shared" si="0"/>
        <v>126561</v>
      </c>
    </row>
    <row r="30" spans="2:7">
      <c r="B30" s="15" t="s">
        <v>109</v>
      </c>
      <c r="C30" s="14">
        <v>26113</v>
      </c>
      <c r="D30" s="14">
        <v>31196</v>
      </c>
      <c r="E30" s="14">
        <v>16887</v>
      </c>
      <c r="F30" s="14">
        <v>32951</v>
      </c>
      <c r="G30" s="14">
        <v>122208</v>
      </c>
    </row>
    <row r="31" spans="2:7">
      <c r="B31" s="15" t="s">
        <v>110</v>
      </c>
      <c r="C31" s="14">
        <v>6823</v>
      </c>
      <c r="D31" s="14">
        <v>-7197</v>
      </c>
      <c r="E31" s="14">
        <v>-1175</v>
      </c>
      <c r="F31" s="14">
        <v>6429</v>
      </c>
      <c r="G31" s="14">
        <v>3748</v>
      </c>
    </row>
    <row r="32" spans="2:7">
      <c r="B32" s="15" t="s">
        <v>111</v>
      </c>
      <c r="C32" s="1">
        <v>-244</v>
      </c>
      <c r="D32" s="1">
        <v>184</v>
      </c>
      <c r="E32" s="1">
        <v>966</v>
      </c>
      <c r="F32" s="14">
        <v>1530</v>
      </c>
      <c r="G32" s="1">
        <v>605</v>
      </c>
    </row>
    <row r="33" spans="2:7">
      <c r="B33" s="1" t="s">
        <v>112</v>
      </c>
      <c r="C33" s="14">
        <f>ROUNDDOWN(C28-C29,0)</f>
        <v>84556</v>
      </c>
      <c r="D33" s="14">
        <f t="shared" ref="D33:G33" si="1">ROUNDDOWN(D28-D29,0)</f>
        <v>43293</v>
      </c>
      <c r="E33" s="14">
        <f t="shared" si="1"/>
        <v>49506</v>
      </c>
      <c r="F33" s="14">
        <f t="shared" si="1"/>
        <v>95704</v>
      </c>
      <c r="G33" s="14">
        <f t="shared" si="1"/>
        <v>280918</v>
      </c>
    </row>
    <row r="35" spans="2:7">
      <c r="C35" s="14"/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0197-7C4A-4AC4-9E30-8D9DE2DE2128}">
  <dimension ref="B2:L65"/>
  <sheetViews>
    <sheetView showGridLines="0" topLeftCell="A32" zoomScale="60" zoomScaleNormal="60" workbookViewId="0">
      <selection activeCell="B41" sqref="B41:B42"/>
    </sheetView>
  </sheetViews>
  <sheetFormatPr defaultRowHeight="14.5"/>
  <cols>
    <col min="1" max="1" width="2.83203125" style="1" customWidth="1"/>
    <col min="2" max="2" width="48.6640625" style="1" customWidth="1"/>
    <col min="3" max="7" width="12.58203125" style="1" customWidth="1"/>
    <col min="8" max="16384" width="8.6640625" style="1"/>
  </cols>
  <sheetData>
    <row r="2" spans="2:7">
      <c r="B2" s="1" t="s">
        <v>117</v>
      </c>
      <c r="G2" s="1" t="s">
        <v>89</v>
      </c>
    </row>
    <row r="3" spans="2:7">
      <c r="B3" s="9" t="s">
        <v>118</v>
      </c>
      <c r="C3" s="9">
        <v>2019</v>
      </c>
      <c r="D3" s="9">
        <v>2020</v>
      </c>
      <c r="E3" s="9">
        <v>2021</v>
      </c>
      <c r="F3" s="9">
        <v>2022</v>
      </c>
      <c r="G3" s="9">
        <v>2023</v>
      </c>
    </row>
    <row r="4" spans="2:7">
      <c r="B4" s="2" t="s">
        <v>119</v>
      </c>
      <c r="C4" s="14"/>
      <c r="D4" s="14"/>
      <c r="E4" s="14"/>
      <c r="F4" s="14"/>
      <c r="G4" s="14"/>
    </row>
    <row r="5" spans="2:7">
      <c r="B5" s="1" t="s">
        <v>286</v>
      </c>
      <c r="C5" s="14">
        <v>526745</v>
      </c>
      <c r="D5" s="14">
        <v>562431</v>
      </c>
      <c r="E5" s="14">
        <v>550725</v>
      </c>
      <c r="F5" s="14">
        <v>899870</v>
      </c>
      <c r="G5" s="14">
        <v>1217914</v>
      </c>
    </row>
    <row r="6" spans="2:7">
      <c r="B6" s="11" t="s">
        <v>36</v>
      </c>
      <c r="C6" s="14">
        <v>93092</v>
      </c>
      <c r="D6" s="14">
        <v>151288</v>
      </c>
      <c r="E6" s="14">
        <v>157881</v>
      </c>
      <c r="F6" s="14">
        <v>179769</v>
      </c>
      <c r="G6" s="14">
        <v>453502</v>
      </c>
    </row>
    <row r="7" spans="2:7">
      <c r="B7" s="11" t="s">
        <v>230</v>
      </c>
      <c r="C7" s="14">
        <v>265225</v>
      </c>
      <c r="D7" s="14">
        <v>221123</v>
      </c>
      <c r="E7" s="14">
        <v>218985</v>
      </c>
      <c r="F7" s="14">
        <v>364683</v>
      </c>
      <c r="G7" s="14">
        <v>446061</v>
      </c>
    </row>
    <row r="8" spans="2:7">
      <c r="B8" s="11" t="s">
        <v>254</v>
      </c>
      <c r="C8" s="14">
        <v>19647</v>
      </c>
      <c r="D8" s="14">
        <v>20363</v>
      </c>
      <c r="E8" s="14">
        <v>19618</v>
      </c>
      <c r="F8" s="14">
        <v>17824</v>
      </c>
      <c r="G8" s="14">
        <v>17125</v>
      </c>
    </row>
    <row r="9" spans="2:7">
      <c r="B9" s="11" t="s">
        <v>48</v>
      </c>
      <c r="C9" s="14">
        <v>78660</v>
      </c>
      <c r="D9" s="14">
        <v>78477</v>
      </c>
      <c r="E9" s="14">
        <v>60040</v>
      </c>
      <c r="F9" s="173">
        <v>67135</v>
      </c>
      <c r="G9" s="173">
        <v>135769</v>
      </c>
    </row>
    <row r="10" spans="2:7">
      <c r="B10" s="11" t="s">
        <v>255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</row>
    <row r="11" spans="2:7">
      <c r="B11" s="11" t="s">
        <v>256</v>
      </c>
      <c r="C11" s="1">
        <v>0</v>
      </c>
      <c r="D11" s="1">
        <v>0</v>
      </c>
      <c r="E11" s="1">
        <v>0</v>
      </c>
      <c r="F11" s="14">
        <v>3467</v>
      </c>
      <c r="G11" s="14">
        <v>6030</v>
      </c>
    </row>
    <row r="12" spans="2:7">
      <c r="B12" s="11" t="s">
        <v>257</v>
      </c>
      <c r="C12" s="1">
        <v>0</v>
      </c>
      <c r="D12" s="1">
        <v>0</v>
      </c>
      <c r="E12" s="1">
        <v>0</v>
      </c>
      <c r="F12" s="14">
        <v>12083</v>
      </c>
      <c r="G12" s="14">
        <v>15653</v>
      </c>
    </row>
    <row r="13" spans="2:7">
      <c r="B13" s="11" t="s">
        <v>258</v>
      </c>
      <c r="C13" s="1">
        <v>0</v>
      </c>
      <c r="D13" s="1">
        <v>0</v>
      </c>
      <c r="E13" s="1">
        <v>0</v>
      </c>
      <c r="F13" s="173">
        <v>0</v>
      </c>
      <c r="G13" s="173">
        <v>0</v>
      </c>
    </row>
    <row r="14" spans="2:7">
      <c r="B14" s="11" t="s">
        <v>259</v>
      </c>
      <c r="C14" s="14">
        <v>71306</v>
      </c>
      <c r="D14" s="14">
        <v>91748</v>
      </c>
      <c r="E14" s="14">
        <v>95058</v>
      </c>
      <c r="F14" s="14">
        <v>258623</v>
      </c>
      <c r="G14" s="14">
        <v>145896</v>
      </c>
    </row>
    <row r="15" spans="2:7">
      <c r="B15" s="11" t="s">
        <v>260</v>
      </c>
      <c r="C15" s="14">
        <v>-1186</v>
      </c>
      <c r="D15" s="14">
        <v>-570</v>
      </c>
      <c r="E15" s="14">
        <v>-857</v>
      </c>
      <c r="F15" s="14">
        <v>-3714</v>
      </c>
      <c r="G15" s="14">
        <v>-2122</v>
      </c>
    </row>
    <row r="16" spans="2:7">
      <c r="B16" s="1" t="s">
        <v>120</v>
      </c>
      <c r="C16" s="14">
        <v>1901403</v>
      </c>
      <c r="D16" s="14">
        <v>1977487</v>
      </c>
      <c r="E16" s="14">
        <v>2187623</v>
      </c>
      <c r="F16" s="14">
        <v>2287757</v>
      </c>
      <c r="G16" s="14">
        <v>2363511</v>
      </c>
    </row>
    <row r="17" spans="2:12">
      <c r="B17" s="1" t="s">
        <v>253</v>
      </c>
      <c r="C17" s="14">
        <v>1425634</v>
      </c>
      <c r="D17" s="14">
        <v>1459532</v>
      </c>
      <c r="E17" s="14">
        <v>1495927</v>
      </c>
      <c r="F17" s="14">
        <v>1569373</v>
      </c>
      <c r="G17" s="14">
        <v>1582904</v>
      </c>
      <c r="I17" s="14"/>
      <c r="J17" s="14"/>
      <c r="K17" s="14"/>
      <c r="L17" s="14"/>
    </row>
    <row r="18" spans="2:12">
      <c r="B18" s="11" t="s">
        <v>261</v>
      </c>
      <c r="C18" s="14">
        <v>234433</v>
      </c>
      <c r="D18" s="14">
        <v>224515</v>
      </c>
      <c r="E18" s="14">
        <v>231177</v>
      </c>
      <c r="F18" s="1">
        <v>0</v>
      </c>
      <c r="G18" s="1">
        <v>0</v>
      </c>
    </row>
    <row r="19" spans="2:12">
      <c r="B19" s="11" t="s">
        <v>262</v>
      </c>
      <c r="C19" s="14">
        <v>548529</v>
      </c>
      <c r="D19" s="14">
        <v>548095</v>
      </c>
      <c r="E19" s="14">
        <v>594662</v>
      </c>
      <c r="F19" s="1">
        <v>0</v>
      </c>
      <c r="G19" s="1">
        <v>0</v>
      </c>
    </row>
    <row r="20" spans="2:12">
      <c r="B20" s="11" t="s">
        <v>263</v>
      </c>
      <c r="C20" s="14">
        <v>49586</v>
      </c>
      <c r="D20" s="14">
        <v>48492</v>
      </c>
      <c r="E20" s="14">
        <v>15992</v>
      </c>
      <c r="F20" s="1">
        <v>0</v>
      </c>
      <c r="G20" s="1">
        <v>0</v>
      </c>
    </row>
    <row r="21" spans="2:12">
      <c r="B21" s="11" t="s">
        <v>264</v>
      </c>
      <c r="C21" s="14">
        <v>447924</v>
      </c>
      <c r="D21" s="14">
        <v>475565</v>
      </c>
      <c r="E21" s="14">
        <v>564811</v>
      </c>
      <c r="F21" s="1">
        <v>0</v>
      </c>
      <c r="G21" s="1">
        <v>0</v>
      </c>
    </row>
    <row r="22" spans="2:12">
      <c r="B22" s="11" t="s">
        <v>265</v>
      </c>
      <c r="C22" s="1">
        <v>0</v>
      </c>
      <c r="D22" s="1">
        <v>0</v>
      </c>
      <c r="E22" s="1">
        <v>0</v>
      </c>
      <c r="F22" s="14">
        <v>338517</v>
      </c>
      <c r="G22" s="14">
        <v>346262</v>
      </c>
    </row>
    <row r="23" spans="2:12">
      <c r="B23" s="11" t="s">
        <v>266</v>
      </c>
      <c r="C23" s="14">
        <v>0</v>
      </c>
      <c r="D23" s="14">
        <v>0</v>
      </c>
      <c r="E23" s="14">
        <v>0</v>
      </c>
      <c r="F23" s="14">
        <v>892515</v>
      </c>
      <c r="G23" s="14">
        <v>921572</v>
      </c>
    </row>
    <row r="24" spans="2:12">
      <c r="B24" s="11" t="s">
        <v>267</v>
      </c>
      <c r="C24" s="14">
        <v>0</v>
      </c>
      <c r="D24" s="14">
        <v>0</v>
      </c>
      <c r="E24" s="14">
        <v>0</v>
      </c>
      <c r="F24" s="14">
        <v>14484</v>
      </c>
      <c r="G24" s="14">
        <v>10714</v>
      </c>
    </row>
    <row r="25" spans="2:12">
      <c r="B25" s="11" t="s">
        <v>268</v>
      </c>
      <c r="C25" s="14">
        <v>0</v>
      </c>
      <c r="D25" s="14">
        <v>0</v>
      </c>
      <c r="E25" s="14">
        <v>0</v>
      </c>
      <c r="F25" s="14">
        <v>192455</v>
      </c>
      <c r="G25" s="14">
        <v>197245</v>
      </c>
    </row>
    <row r="26" spans="2:12">
      <c r="B26" s="11" t="s">
        <v>269</v>
      </c>
      <c r="C26" s="14">
        <v>0</v>
      </c>
      <c r="D26" s="14">
        <v>0</v>
      </c>
      <c r="E26" s="14">
        <v>0</v>
      </c>
      <c r="F26" s="14">
        <v>5899</v>
      </c>
      <c r="G26" s="14">
        <v>8231</v>
      </c>
    </row>
    <row r="27" spans="2:12">
      <c r="B27" s="11" t="s">
        <v>270</v>
      </c>
      <c r="C27" s="14">
        <v>145160</v>
      </c>
      <c r="D27" s="14">
        <v>162862</v>
      </c>
      <c r="E27" s="14">
        <v>89283</v>
      </c>
      <c r="F27" s="14">
        <v>125501</v>
      </c>
      <c r="G27" s="14">
        <v>98878</v>
      </c>
    </row>
    <row r="28" spans="2:12">
      <c r="B28" s="1" t="s">
        <v>121</v>
      </c>
      <c r="C28" s="14">
        <v>120359</v>
      </c>
      <c r="D28" s="14">
        <v>156123</v>
      </c>
      <c r="E28" s="14">
        <v>295637</v>
      </c>
      <c r="F28" s="14">
        <v>300315</v>
      </c>
      <c r="G28" s="14">
        <v>314533</v>
      </c>
    </row>
    <row r="29" spans="2:12">
      <c r="B29" s="1" t="s">
        <v>122</v>
      </c>
      <c r="C29" s="14">
        <v>355409</v>
      </c>
      <c r="D29" s="14">
        <v>361831</v>
      </c>
      <c r="E29" s="14">
        <v>396057</v>
      </c>
      <c r="F29" s="14">
        <v>418068</v>
      </c>
      <c r="G29" s="14">
        <v>466073</v>
      </c>
    </row>
    <row r="30" spans="2:12">
      <c r="B30" s="11" t="s">
        <v>271</v>
      </c>
      <c r="C30" s="14">
        <v>225212</v>
      </c>
      <c r="D30" s="14">
        <v>216052</v>
      </c>
      <c r="E30" s="14">
        <v>230782</v>
      </c>
      <c r="F30" s="14">
        <v>236303</v>
      </c>
      <c r="G30" s="14">
        <v>278497</v>
      </c>
    </row>
    <row r="31" spans="2:12">
      <c r="B31" s="11" t="s">
        <v>272</v>
      </c>
      <c r="C31" s="14">
        <v>40158</v>
      </c>
      <c r="D31" s="14">
        <v>50615</v>
      </c>
      <c r="E31" s="14">
        <v>57279</v>
      </c>
      <c r="F31" s="14">
        <v>48653</v>
      </c>
      <c r="G31" s="14">
        <v>56550</v>
      </c>
    </row>
    <row r="32" spans="2:12">
      <c r="B32" s="11" t="s">
        <v>273</v>
      </c>
      <c r="C32" s="1">
        <v>24</v>
      </c>
      <c r="D32" s="1">
        <v>29</v>
      </c>
      <c r="E32" s="14">
        <v>114</v>
      </c>
      <c r="F32" s="14">
        <v>5864</v>
      </c>
      <c r="G32" s="14">
        <v>8809</v>
      </c>
    </row>
    <row r="33" spans="2:7">
      <c r="B33" s="11" t="s">
        <v>255</v>
      </c>
      <c r="C33" s="14">
        <v>42425</v>
      </c>
      <c r="D33" s="14">
        <v>49132</v>
      </c>
      <c r="E33" s="14">
        <v>47368</v>
      </c>
      <c r="F33" s="14">
        <v>34670</v>
      </c>
      <c r="G33" s="14">
        <v>32849</v>
      </c>
    </row>
    <row r="34" spans="2:7">
      <c r="B34" s="11" t="s">
        <v>274</v>
      </c>
      <c r="C34" s="14">
        <v>47950</v>
      </c>
      <c r="D34" s="14">
        <v>46407</v>
      </c>
      <c r="E34" s="14">
        <v>60814</v>
      </c>
      <c r="F34" s="14">
        <v>94223</v>
      </c>
      <c r="G34" s="14">
        <v>93649</v>
      </c>
    </row>
    <row r="35" spans="2:7">
      <c r="B35" s="11" t="s">
        <v>275</v>
      </c>
      <c r="C35" s="14">
        <v>-362</v>
      </c>
      <c r="D35" s="14">
        <v>-405</v>
      </c>
      <c r="E35" s="14">
        <v>-301</v>
      </c>
      <c r="F35" s="14">
        <v>-1647</v>
      </c>
      <c r="G35" s="14">
        <v>-4283</v>
      </c>
    </row>
    <row r="36" spans="2:7">
      <c r="B36" s="1" t="s">
        <v>123</v>
      </c>
      <c r="C36" s="14">
        <v>2428149</v>
      </c>
      <c r="D36" s="14">
        <v>2539919</v>
      </c>
      <c r="E36" s="14">
        <v>2738348</v>
      </c>
      <c r="F36" s="14">
        <v>3187627</v>
      </c>
      <c r="G36" s="14">
        <v>3581425</v>
      </c>
    </row>
    <row r="37" spans="2:7">
      <c r="B37" s="2" t="s">
        <v>124</v>
      </c>
      <c r="C37" s="14"/>
      <c r="D37" s="14"/>
      <c r="E37" s="14"/>
      <c r="F37" s="14"/>
    </row>
    <row r="38" spans="2:7">
      <c r="B38" s="1" t="s">
        <v>125</v>
      </c>
      <c r="C38" s="14">
        <v>919176</v>
      </c>
      <c r="D38" s="14">
        <v>1010676</v>
      </c>
      <c r="E38" s="14">
        <v>1145067</v>
      </c>
      <c r="F38" s="14">
        <v>1354486</v>
      </c>
      <c r="G38" s="14">
        <v>1385965</v>
      </c>
    </row>
    <row r="39" spans="2:7">
      <c r="B39" s="11" t="s">
        <v>276</v>
      </c>
      <c r="C39" s="14">
        <v>334998</v>
      </c>
      <c r="D39" s="14">
        <v>404998</v>
      </c>
      <c r="E39" s="14">
        <v>474998</v>
      </c>
      <c r="F39" s="14">
        <v>548619</v>
      </c>
      <c r="G39" s="14">
        <v>548976</v>
      </c>
    </row>
    <row r="40" spans="2:7">
      <c r="B40" s="11" t="s">
        <v>277</v>
      </c>
      <c r="C40" s="14">
        <v>394542</v>
      </c>
      <c r="D40" s="14">
        <v>429541</v>
      </c>
      <c r="E40" s="14">
        <v>458881</v>
      </c>
      <c r="F40" s="14">
        <v>568725</v>
      </c>
      <c r="G40" s="14">
        <v>607262</v>
      </c>
    </row>
    <row r="41" spans="2:7">
      <c r="B41" s="11" t="s">
        <v>278</v>
      </c>
      <c r="C41" s="14">
        <v>75262</v>
      </c>
      <c r="D41" s="14">
        <v>71976</v>
      </c>
      <c r="E41" s="14">
        <v>58416</v>
      </c>
      <c r="F41" s="14">
        <v>66195</v>
      </c>
      <c r="G41" s="14">
        <v>64570</v>
      </c>
    </row>
    <row r="42" spans="2:7">
      <c r="B42" s="11" t="s">
        <v>274</v>
      </c>
      <c r="C42" s="14">
        <v>114373</v>
      </c>
      <c r="D42" s="14">
        <v>104159</v>
      </c>
      <c r="E42" s="14">
        <v>152771</v>
      </c>
      <c r="F42" s="14">
        <v>170947</v>
      </c>
      <c r="G42" s="14">
        <v>165157</v>
      </c>
    </row>
    <row r="43" spans="2:7">
      <c r="B43" s="1" t="s">
        <v>231</v>
      </c>
      <c r="C43" s="14">
        <v>337626</v>
      </c>
      <c r="D43" s="14">
        <v>370104</v>
      </c>
      <c r="E43" s="14">
        <v>415010</v>
      </c>
      <c r="F43" s="14">
        <v>551990</v>
      </c>
      <c r="G43" s="14">
        <v>606158</v>
      </c>
    </row>
    <row r="44" spans="2:7">
      <c r="B44" s="11" t="s">
        <v>279</v>
      </c>
      <c r="C44" s="14">
        <v>51566</v>
      </c>
      <c r="D44" s="14">
        <v>54428</v>
      </c>
      <c r="E44" s="14">
        <v>108704</v>
      </c>
      <c r="F44" s="14">
        <v>48972</v>
      </c>
      <c r="G44" s="14">
        <v>59973</v>
      </c>
    </row>
    <row r="45" spans="2:7">
      <c r="B45" s="11" t="s">
        <v>280</v>
      </c>
      <c r="C45" s="14">
        <v>0</v>
      </c>
      <c r="D45" s="14">
        <v>0</v>
      </c>
      <c r="E45" s="14">
        <v>0</v>
      </c>
      <c r="F45" s="14">
        <v>0</v>
      </c>
      <c r="G45" s="14">
        <v>20000</v>
      </c>
    </row>
    <row r="46" spans="2:7">
      <c r="B46" s="11" t="s">
        <v>281</v>
      </c>
      <c r="C46" s="14">
        <v>69605</v>
      </c>
      <c r="D46" s="14">
        <v>78593</v>
      </c>
      <c r="E46" s="14">
        <v>84265</v>
      </c>
      <c r="F46" s="14">
        <v>76229</v>
      </c>
      <c r="G46" s="14">
        <v>63845</v>
      </c>
    </row>
    <row r="47" spans="2:7">
      <c r="B47" s="11" t="s">
        <v>282</v>
      </c>
      <c r="C47" s="14">
        <v>5133</v>
      </c>
      <c r="D47" s="14">
        <v>6507</v>
      </c>
      <c r="E47" s="14">
        <v>5706</v>
      </c>
      <c r="F47" s="14">
        <v>6385</v>
      </c>
      <c r="G47" s="14">
        <v>6674</v>
      </c>
    </row>
    <row r="48" spans="2:7">
      <c r="B48" s="11" t="s">
        <v>283</v>
      </c>
      <c r="C48" s="14">
        <v>31283</v>
      </c>
      <c r="D48" s="14">
        <v>29708</v>
      </c>
      <c r="E48" s="14">
        <v>11710</v>
      </c>
      <c r="F48" s="14">
        <v>33830</v>
      </c>
      <c r="G48" s="14">
        <v>118636</v>
      </c>
    </row>
    <row r="49" spans="2:7">
      <c r="B49" s="11" t="s">
        <v>274</v>
      </c>
      <c r="C49" s="14">
        <v>180037</v>
      </c>
      <c r="D49" s="14">
        <v>200865</v>
      </c>
      <c r="E49" s="14">
        <v>204623</v>
      </c>
      <c r="F49" s="14">
        <v>386573</v>
      </c>
      <c r="G49" s="14">
        <v>337028</v>
      </c>
    </row>
    <row r="50" spans="2:7">
      <c r="B50" s="11" t="s">
        <v>284</v>
      </c>
      <c r="C50" s="14">
        <v>1256803</v>
      </c>
      <c r="D50" s="14">
        <v>1380780</v>
      </c>
      <c r="E50" s="14">
        <v>1560077</v>
      </c>
      <c r="F50" s="14">
        <v>1906477</v>
      </c>
      <c r="G50" s="14">
        <v>1992124</v>
      </c>
    </row>
    <row r="51" spans="2:7">
      <c r="B51" s="2" t="s">
        <v>126</v>
      </c>
      <c r="F51" s="14"/>
      <c r="G51" s="14"/>
    </row>
    <row r="52" spans="2:7">
      <c r="B52" s="1" t="s">
        <v>127</v>
      </c>
      <c r="C52" s="14">
        <v>1115918</v>
      </c>
      <c r="D52" s="14">
        <v>1107754</v>
      </c>
      <c r="E52" s="14">
        <v>1129845</v>
      </c>
      <c r="F52" s="14">
        <v>1215350</v>
      </c>
      <c r="G52" s="14">
        <v>1449094</v>
      </c>
    </row>
    <row r="53" spans="2:7">
      <c r="B53" s="1" t="s">
        <v>128</v>
      </c>
      <c r="C53" s="14">
        <v>141844</v>
      </c>
      <c r="D53" s="14">
        <v>141844</v>
      </c>
      <c r="E53" s="14">
        <v>141844</v>
      </c>
      <c r="F53" s="14">
        <v>141844</v>
      </c>
      <c r="G53" s="14">
        <v>141844</v>
      </c>
    </row>
    <row r="54" spans="2:7">
      <c r="B54" s="1" t="s">
        <v>129</v>
      </c>
      <c r="C54" s="14">
        <v>1634</v>
      </c>
      <c r="D54" s="14">
        <v>2067</v>
      </c>
      <c r="E54" s="14">
        <v>1145</v>
      </c>
      <c r="F54" s="14">
        <v>846</v>
      </c>
      <c r="G54" s="14" t="s">
        <v>98</v>
      </c>
    </row>
    <row r="55" spans="2:7">
      <c r="B55" s="1" t="s">
        <v>130</v>
      </c>
      <c r="C55" s="14">
        <v>976550</v>
      </c>
      <c r="D55" s="14">
        <v>967718</v>
      </c>
      <c r="E55" s="14">
        <v>990762</v>
      </c>
      <c r="F55" s="14">
        <v>1076184</v>
      </c>
      <c r="G55" s="14">
        <v>1310908</v>
      </c>
    </row>
    <row r="56" spans="2:7">
      <c r="B56" s="1" t="s">
        <v>131</v>
      </c>
      <c r="C56" s="14">
        <v>-4111</v>
      </c>
      <c r="D56" s="14">
        <v>-3875</v>
      </c>
      <c r="E56" s="14">
        <v>-3907</v>
      </c>
      <c r="F56" s="14">
        <v>-3524</v>
      </c>
      <c r="G56" s="14">
        <v>-3658</v>
      </c>
    </row>
    <row r="57" spans="2:7">
      <c r="B57" s="1" t="s">
        <v>132</v>
      </c>
      <c r="C57" s="14">
        <v>43137</v>
      </c>
      <c r="D57" s="14">
        <v>39992</v>
      </c>
      <c r="E57" s="14">
        <v>23968</v>
      </c>
      <c r="F57" s="14">
        <v>36430</v>
      </c>
      <c r="G57" s="14">
        <v>109309</v>
      </c>
    </row>
    <row r="58" spans="2:7">
      <c r="B58" s="1" t="s">
        <v>133</v>
      </c>
      <c r="C58" s="14">
        <v>22756</v>
      </c>
      <c r="D58" s="14">
        <v>15843</v>
      </c>
      <c r="E58" s="14">
        <v>22990</v>
      </c>
      <c r="F58" s="14">
        <v>18866</v>
      </c>
      <c r="G58" s="14">
        <v>30954</v>
      </c>
    </row>
    <row r="59" spans="2:7">
      <c r="B59" s="1" t="s">
        <v>134</v>
      </c>
      <c r="C59" s="14">
        <v>1604</v>
      </c>
      <c r="D59" s="14">
        <v>1444</v>
      </c>
      <c r="E59" s="14">
        <v>-11240</v>
      </c>
      <c r="F59" s="14">
        <v>-11904</v>
      </c>
      <c r="G59" s="14">
        <v>-9626</v>
      </c>
    </row>
    <row r="60" spans="2:7">
      <c r="B60" s="1" t="s">
        <v>135</v>
      </c>
      <c r="C60" s="14">
        <v>24770</v>
      </c>
      <c r="D60" s="14">
        <v>22412</v>
      </c>
      <c r="E60" s="14">
        <v>4322</v>
      </c>
      <c r="F60" s="14">
        <v>32545</v>
      </c>
      <c r="G60" s="14">
        <v>86226</v>
      </c>
    </row>
    <row r="61" spans="2:7">
      <c r="B61" s="1" t="s">
        <v>136</v>
      </c>
      <c r="C61" s="14">
        <v>-5994</v>
      </c>
      <c r="D61" s="1">
        <v>292</v>
      </c>
      <c r="E61" s="14">
        <v>7895</v>
      </c>
      <c r="F61" s="14">
        <v>-3076</v>
      </c>
      <c r="G61" s="14">
        <v>1754</v>
      </c>
    </row>
    <row r="62" spans="2:7">
      <c r="B62" s="1" t="s">
        <v>137</v>
      </c>
      <c r="C62" s="14">
        <v>12289</v>
      </c>
      <c r="D62" s="14">
        <v>11391</v>
      </c>
      <c r="E62" s="14">
        <v>24457</v>
      </c>
      <c r="F62" s="14">
        <v>29368</v>
      </c>
      <c r="G62" s="14">
        <v>30896</v>
      </c>
    </row>
    <row r="63" spans="2:7">
      <c r="B63" s="1" t="s">
        <v>138</v>
      </c>
      <c r="C63" s="14">
        <v>1171345</v>
      </c>
      <c r="D63" s="14">
        <v>1159138</v>
      </c>
      <c r="E63" s="14">
        <v>1178271</v>
      </c>
      <c r="F63" s="14">
        <v>1281150</v>
      </c>
      <c r="G63" s="14">
        <v>1589301</v>
      </c>
    </row>
    <row r="64" spans="2:7">
      <c r="B64" s="1" t="s">
        <v>139</v>
      </c>
      <c r="C64" s="14">
        <v>2428149</v>
      </c>
      <c r="D64" s="14">
        <v>2539919</v>
      </c>
      <c r="E64" s="14">
        <v>2738348</v>
      </c>
      <c r="F64" s="14">
        <v>3187627</v>
      </c>
      <c r="G64" s="14">
        <v>3581425</v>
      </c>
    </row>
    <row r="65" spans="6:7">
      <c r="F65" s="14"/>
      <c r="G65" s="14"/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837FF-1E89-40A6-9690-ED5C68049818}">
  <dimension ref="B2:G58"/>
  <sheetViews>
    <sheetView showGridLines="0" topLeftCell="A18" zoomScale="70" zoomScaleNormal="70" workbookViewId="0">
      <selection activeCell="B3" sqref="B3:C45"/>
    </sheetView>
  </sheetViews>
  <sheetFormatPr defaultRowHeight="14.5"/>
  <cols>
    <col min="1" max="1" width="2.83203125" style="1" customWidth="1"/>
    <col min="2" max="2" width="48.6640625" style="1" customWidth="1"/>
    <col min="3" max="7" width="12.58203125" style="1" customWidth="1"/>
    <col min="8" max="16384" width="8.6640625" style="1"/>
  </cols>
  <sheetData>
    <row r="2" spans="2:7">
      <c r="B2" s="1" t="s">
        <v>140</v>
      </c>
      <c r="G2" s="1" t="s">
        <v>89</v>
      </c>
    </row>
    <row r="3" spans="2:7">
      <c r="B3" s="9" t="s">
        <v>141</v>
      </c>
      <c r="C3" s="9">
        <v>2019</v>
      </c>
      <c r="D3" s="9">
        <v>2020</v>
      </c>
      <c r="E3" s="9">
        <v>2021</v>
      </c>
      <c r="F3" s="9">
        <v>2022</v>
      </c>
      <c r="G3" s="9">
        <v>2023</v>
      </c>
    </row>
    <row r="4" spans="2:7">
      <c r="B4" s="1" t="s">
        <v>142</v>
      </c>
      <c r="C4" s="14"/>
      <c r="D4" s="14"/>
      <c r="E4" s="14"/>
      <c r="F4" s="14"/>
      <c r="G4" s="14"/>
    </row>
    <row r="5" spans="2:7">
      <c r="B5" s="1" t="s">
        <v>143</v>
      </c>
      <c r="C5" s="14">
        <v>117248</v>
      </c>
      <c r="D5" s="14">
        <v>67476</v>
      </c>
      <c r="E5" s="14">
        <v>66184</v>
      </c>
      <c r="F5" s="14">
        <v>136614</v>
      </c>
      <c r="G5" s="14">
        <v>407479</v>
      </c>
    </row>
    <row r="6" spans="2:7">
      <c r="B6" s="1" t="s">
        <v>208</v>
      </c>
      <c r="C6" s="14">
        <v>157574</v>
      </c>
      <c r="D6" s="14">
        <v>165615</v>
      </c>
      <c r="E6" s="14">
        <v>176087</v>
      </c>
      <c r="F6" s="14">
        <v>196810</v>
      </c>
      <c r="G6" s="14">
        <v>205076</v>
      </c>
    </row>
    <row r="7" spans="2:7">
      <c r="B7" s="1" t="s">
        <v>144</v>
      </c>
      <c r="C7" s="14">
        <v>4306</v>
      </c>
      <c r="D7" s="14">
        <v>4263</v>
      </c>
      <c r="E7" s="14">
        <v>3722</v>
      </c>
      <c r="F7" s="14">
        <v>4136</v>
      </c>
      <c r="G7" s="14">
        <v>4224</v>
      </c>
    </row>
    <row r="8" spans="2:7">
      <c r="B8" s="1" t="s">
        <v>145</v>
      </c>
      <c r="C8" s="14">
        <v>2248</v>
      </c>
      <c r="D8" s="14">
        <v>2164</v>
      </c>
      <c r="E8" s="14">
        <v>3274</v>
      </c>
      <c r="F8" s="14">
        <v>2574</v>
      </c>
      <c r="G8" s="14">
        <v>1658</v>
      </c>
    </row>
    <row r="9" spans="2:7">
      <c r="B9" s="1" t="s">
        <v>146</v>
      </c>
      <c r="C9" s="14">
        <v>-4425</v>
      </c>
      <c r="D9" s="14">
        <v>-7763</v>
      </c>
      <c r="E9" s="14">
        <v>-3984</v>
      </c>
      <c r="F9" s="14">
        <v>-2724</v>
      </c>
      <c r="G9" s="14">
        <v>-5260</v>
      </c>
    </row>
    <row r="10" spans="2:7">
      <c r="B10" s="1" t="s">
        <v>147</v>
      </c>
      <c r="C10" s="14">
        <v>11091</v>
      </c>
      <c r="D10" s="14">
        <v>11412</v>
      </c>
      <c r="E10" s="14">
        <v>12629</v>
      </c>
      <c r="F10" s="14">
        <v>14466</v>
      </c>
      <c r="G10" s="14">
        <v>15138</v>
      </c>
    </row>
    <row r="11" spans="2:7">
      <c r="B11" s="1" t="s">
        <v>148</v>
      </c>
      <c r="C11" s="14">
        <v>-46191</v>
      </c>
      <c r="D11" s="14">
        <v>52646</v>
      </c>
      <c r="E11" s="14">
        <v>5126</v>
      </c>
      <c r="F11" s="14">
        <v>-147505</v>
      </c>
      <c r="G11" s="14">
        <v>-114253</v>
      </c>
    </row>
    <row r="12" spans="2:7">
      <c r="B12" s="1" t="s">
        <v>149</v>
      </c>
      <c r="C12" s="14">
        <v>-18336</v>
      </c>
      <c r="D12" s="14">
        <v>172</v>
      </c>
      <c r="E12" s="14">
        <v>18643</v>
      </c>
      <c r="F12" s="14">
        <v>-22491</v>
      </c>
      <c r="G12" s="14">
        <v>-78491</v>
      </c>
    </row>
    <row r="13" spans="2:7">
      <c r="B13" s="1" t="s">
        <v>150</v>
      </c>
      <c r="C13" s="14">
        <v>-5321</v>
      </c>
      <c r="D13" s="14">
        <v>8952</v>
      </c>
      <c r="E13" s="14">
        <v>8080</v>
      </c>
      <c r="F13" s="14">
        <v>10132</v>
      </c>
      <c r="G13" s="14">
        <v>7107</v>
      </c>
    </row>
    <row r="14" spans="2:7">
      <c r="B14" s="1" t="s">
        <v>151</v>
      </c>
      <c r="C14" s="14">
        <v>-3002</v>
      </c>
      <c r="D14" s="14">
        <v>7979</v>
      </c>
      <c r="E14" s="14">
        <v>-1072</v>
      </c>
      <c r="F14" s="14">
        <v>542</v>
      </c>
      <c r="G14" s="14">
        <v>12761</v>
      </c>
    </row>
    <row r="15" spans="2:7">
      <c r="B15" s="1" t="s">
        <v>152</v>
      </c>
      <c r="C15" s="14">
        <v>-45892</v>
      </c>
      <c r="D15" s="14">
        <v>21633</v>
      </c>
      <c r="E15" s="14">
        <v>4155</v>
      </c>
      <c r="F15" s="14">
        <v>-25702</v>
      </c>
      <c r="G15" s="14">
        <v>71183</v>
      </c>
    </row>
    <row r="16" spans="2:7">
      <c r="B16" s="1" t="s">
        <v>153</v>
      </c>
      <c r="C16" s="14">
        <v>169300</v>
      </c>
      <c r="D16" s="14">
        <v>334549</v>
      </c>
      <c r="E16" s="14">
        <v>292844</v>
      </c>
      <c r="F16" s="14">
        <v>166852</v>
      </c>
      <c r="G16" s="14">
        <v>526622</v>
      </c>
    </row>
    <row r="17" spans="2:7">
      <c r="B17" s="1" t="s">
        <v>154</v>
      </c>
      <c r="C17" s="14">
        <v>9387</v>
      </c>
      <c r="D17" s="14">
        <v>14510</v>
      </c>
      <c r="E17" s="14">
        <v>7843</v>
      </c>
      <c r="F17" s="14">
        <v>9068</v>
      </c>
      <c r="G17" s="14">
        <v>14915</v>
      </c>
    </row>
    <row r="18" spans="2:7">
      <c r="B18" s="1" t="s">
        <v>155</v>
      </c>
      <c r="C18" s="14">
        <v>-10809</v>
      </c>
      <c r="D18" s="14">
        <v>-11087</v>
      </c>
      <c r="E18" s="14">
        <v>-12630</v>
      </c>
      <c r="F18" s="14">
        <v>-14483</v>
      </c>
      <c r="G18" s="14">
        <v>-14069</v>
      </c>
    </row>
    <row r="19" spans="2:7">
      <c r="B19" s="1" t="s">
        <v>156</v>
      </c>
      <c r="C19" s="14">
        <v>-26571</v>
      </c>
      <c r="D19" s="14">
        <v>-31676</v>
      </c>
      <c r="E19" s="14">
        <v>-32482</v>
      </c>
      <c r="F19" s="14">
        <v>-16209</v>
      </c>
      <c r="G19" s="14">
        <v>-40437</v>
      </c>
    </row>
    <row r="20" spans="2:7">
      <c r="B20" s="1" t="s">
        <v>157</v>
      </c>
      <c r="C20" s="14">
        <v>141306</v>
      </c>
      <c r="D20" s="14">
        <v>306296</v>
      </c>
      <c r="E20" s="14">
        <v>255574</v>
      </c>
      <c r="F20" s="14">
        <v>145227</v>
      </c>
      <c r="G20" s="14">
        <v>487030</v>
      </c>
    </row>
    <row r="21" spans="2:7">
      <c r="B21" s="1" t="s">
        <v>158</v>
      </c>
      <c r="C21" s="14"/>
      <c r="D21" s="14"/>
      <c r="E21" s="14"/>
      <c r="F21" s="14"/>
      <c r="G21" s="14"/>
    </row>
    <row r="22" spans="2:7">
      <c r="B22" s="1" t="s">
        <v>159</v>
      </c>
      <c r="C22" s="14">
        <v>-17603</v>
      </c>
      <c r="D22" s="14">
        <v>-23989</v>
      </c>
      <c r="E22" s="14">
        <v>-37467</v>
      </c>
      <c r="F22" s="14">
        <v>-16214</v>
      </c>
      <c r="G22" s="14">
        <v>-28011</v>
      </c>
    </row>
    <row r="23" spans="2:7">
      <c r="B23" s="1" t="s">
        <v>160</v>
      </c>
      <c r="C23" s="14">
        <v>-168144</v>
      </c>
      <c r="D23" s="14">
        <v>-177664</v>
      </c>
      <c r="E23" s="14">
        <v>-172652</v>
      </c>
      <c r="F23" s="14">
        <v>-167197</v>
      </c>
      <c r="G23" s="14">
        <v>-150647</v>
      </c>
    </row>
    <row r="24" spans="2:7">
      <c r="B24" s="1" t="s">
        <v>161</v>
      </c>
      <c r="C24" s="14">
        <v>-39491</v>
      </c>
      <c r="D24" s="14">
        <v>-41908</v>
      </c>
      <c r="E24" s="14">
        <v>-35725</v>
      </c>
      <c r="F24" s="14">
        <v>-29777</v>
      </c>
      <c r="G24" s="14">
        <v>-34294</v>
      </c>
    </row>
    <row r="25" spans="2:7">
      <c r="B25" s="1" t="s">
        <v>162</v>
      </c>
      <c r="C25" s="14">
        <v>-8561</v>
      </c>
      <c r="D25" s="14">
        <v>-2183</v>
      </c>
      <c r="E25" s="14">
        <v>-2456</v>
      </c>
      <c r="F25" s="14">
        <v>-6584</v>
      </c>
      <c r="G25" s="14">
        <v>-5237</v>
      </c>
    </row>
    <row r="26" spans="2:7">
      <c r="B26" s="1" t="s">
        <v>163</v>
      </c>
      <c r="C26" s="14">
        <v>25050</v>
      </c>
      <c r="D26" s="14">
        <v>282</v>
      </c>
      <c r="E26" s="14">
        <v>5151</v>
      </c>
      <c r="F26" s="14">
        <v>6334</v>
      </c>
      <c r="G26" s="14">
        <v>5769</v>
      </c>
    </row>
    <row r="27" spans="2:7">
      <c r="B27" s="1" t="s">
        <v>152</v>
      </c>
      <c r="C27" s="14">
        <v>5287</v>
      </c>
      <c r="D27" s="14">
        <v>-25335</v>
      </c>
      <c r="E27" s="14">
        <v>-52760</v>
      </c>
      <c r="F27" s="14">
        <v>-11216</v>
      </c>
      <c r="G27" s="14">
        <v>8898</v>
      </c>
    </row>
    <row r="28" spans="2:7">
      <c r="B28" s="1" t="s">
        <v>164</v>
      </c>
      <c r="C28" s="14">
        <v>-203462</v>
      </c>
      <c r="D28" s="14">
        <v>-270798</v>
      </c>
      <c r="E28" s="14">
        <v>-295911</v>
      </c>
      <c r="F28" s="14">
        <v>-224656</v>
      </c>
      <c r="G28" s="14">
        <v>-203522</v>
      </c>
    </row>
    <row r="29" spans="2:7">
      <c r="B29" s="1" t="s">
        <v>165</v>
      </c>
      <c r="C29" s="14"/>
      <c r="D29" s="14"/>
      <c r="E29" s="14"/>
      <c r="F29" s="14"/>
      <c r="G29" s="14"/>
    </row>
    <row r="30" spans="2:7">
      <c r="B30" s="1" t="s">
        <v>166</v>
      </c>
      <c r="C30" s="14">
        <v>-1466</v>
      </c>
      <c r="D30" s="14">
        <v>21</v>
      </c>
      <c r="E30" s="14">
        <v>-801</v>
      </c>
      <c r="F30" s="14">
        <v>679</v>
      </c>
      <c r="G30" s="14">
        <v>13839</v>
      </c>
    </row>
    <row r="31" spans="2:7">
      <c r="B31" s="1" t="s">
        <v>167</v>
      </c>
      <c r="C31" s="14">
        <v>59354</v>
      </c>
      <c r="D31" s="14">
        <v>71542</v>
      </c>
      <c r="E31" s="14">
        <v>51035</v>
      </c>
      <c r="F31" s="14">
        <v>165014</v>
      </c>
      <c r="G31" s="14">
        <v>97366</v>
      </c>
    </row>
    <row r="32" spans="2:7">
      <c r="B32" s="1" t="s">
        <v>168</v>
      </c>
      <c r="C32" s="14">
        <v>-23726</v>
      </c>
      <c r="D32" s="14">
        <v>-43390</v>
      </c>
      <c r="E32" s="14">
        <v>-35981</v>
      </c>
      <c r="F32" s="14">
        <v>-123252</v>
      </c>
      <c r="G32" s="14">
        <v>-72241</v>
      </c>
    </row>
    <row r="33" spans="2:7">
      <c r="B33" s="1" t="s">
        <v>169</v>
      </c>
      <c r="C33" s="14">
        <v>70000</v>
      </c>
      <c r="D33" s="14">
        <v>90000</v>
      </c>
      <c r="E33" s="14">
        <v>90000</v>
      </c>
      <c r="F33" s="14">
        <v>73620</v>
      </c>
      <c r="G33" s="14">
        <v>19791</v>
      </c>
    </row>
    <row r="34" spans="2:7">
      <c r="B34" s="1" t="s">
        <v>170</v>
      </c>
      <c r="C34" s="14">
        <v>-40000</v>
      </c>
      <c r="D34" s="14">
        <v>-30000</v>
      </c>
      <c r="E34" s="14">
        <v>-20000</v>
      </c>
      <c r="F34" s="14">
        <v>-20000</v>
      </c>
      <c r="G34" s="14" t="s">
        <v>98</v>
      </c>
    </row>
    <row r="35" spans="2:7">
      <c r="B35" s="1" t="s">
        <v>171</v>
      </c>
      <c r="C35" s="14">
        <v>-24936</v>
      </c>
      <c r="D35" s="14">
        <v>-27839</v>
      </c>
      <c r="E35" s="14">
        <v>-26449</v>
      </c>
      <c r="F35" s="14">
        <v>-26424</v>
      </c>
      <c r="G35" s="14">
        <v>-29474</v>
      </c>
    </row>
    <row r="36" spans="2:7">
      <c r="B36" s="1" t="s">
        <v>172</v>
      </c>
      <c r="C36" s="14">
        <v>-20051</v>
      </c>
      <c r="D36" s="14">
        <v>-24038</v>
      </c>
      <c r="E36" s="14">
        <v>-32</v>
      </c>
      <c r="F36" s="14">
        <v>-3326</v>
      </c>
      <c r="G36" s="14">
        <v>-16031</v>
      </c>
    </row>
    <row r="37" spans="2:7">
      <c r="B37" s="1" t="s">
        <v>152</v>
      </c>
      <c r="C37" s="14">
        <v>8453</v>
      </c>
      <c r="D37" s="14">
        <v>-13125</v>
      </c>
      <c r="E37" s="14">
        <v>-5763</v>
      </c>
      <c r="F37" s="14">
        <v>24179</v>
      </c>
      <c r="G37" s="14">
        <v>-35653</v>
      </c>
    </row>
    <row r="38" spans="2:7">
      <c r="B38" s="1" t="s">
        <v>173</v>
      </c>
      <c r="C38" s="14">
        <v>27628</v>
      </c>
      <c r="D38" s="14">
        <v>23171</v>
      </c>
      <c r="E38" s="14">
        <v>52009</v>
      </c>
      <c r="F38" s="14">
        <v>90490</v>
      </c>
      <c r="G38" s="14">
        <v>-22403</v>
      </c>
    </row>
    <row r="39" spans="2:7">
      <c r="B39" s="1" t="s">
        <v>174</v>
      </c>
      <c r="C39" s="14">
        <v>-710</v>
      </c>
      <c r="D39" s="14">
        <v>-489</v>
      </c>
      <c r="E39" s="14">
        <v>-5088</v>
      </c>
      <c r="F39" s="14">
        <v>9117</v>
      </c>
      <c r="G39" s="14">
        <v>12628</v>
      </c>
    </row>
    <row r="40" spans="2:7">
      <c r="B40" s="1" t="s">
        <v>175</v>
      </c>
      <c r="C40" s="14">
        <v>-35238</v>
      </c>
      <c r="D40" s="14">
        <v>58179</v>
      </c>
      <c r="E40" s="14">
        <v>6584</v>
      </c>
      <c r="F40" s="14">
        <v>20179</v>
      </c>
      <c r="G40" s="14">
        <v>273733</v>
      </c>
    </row>
    <row r="41" spans="2:7">
      <c r="B41" s="1" t="s">
        <v>176</v>
      </c>
      <c r="C41" s="14">
        <v>128271</v>
      </c>
      <c r="D41" s="14">
        <v>93032</v>
      </c>
      <c r="E41" s="14">
        <v>151218</v>
      </c>
      <c r="F41" s="14">
        <v>157811</v>
      </c>
      <c r="G41" s="14">
        <v>179699</v>
      </c>
    </row>
    <row r="42" spans="2:7">
      <c r="B42" s="1" t="s">
        <v>177</v>
      </c>
      <c r="C42" s="1" t="s">
        <v>98</v>
      </c>
      <c r="D42" s="1">
        <v>6</v>
      </c>
      <c r="E42" s="1">
        <v>8</v>
      </c>
      <c r="F42" s="14">
        <v>1708</v>
      </c>
      <c r="G42" s="14" t="s">
        <v>98</v>
      </c>
    </row>
    <row r="43" spans="2:7">
      <c r="B43" s="1" t="s">
        <v>178</v>
      </c>
      <c r="C43" s="14">
        <v>93032</v>
      </c>
      <c r="D43" s="14">
        <v>151218</v>
      </c>
      <c r="E43" s="14">
        <v>157811</v>
      </c>
      <c r="F43" s="14">
        <v>179699</v>
      </c>
      <c r="G43" s="14">
        <v>453432</v>
      </c>
    </row>
    <row r="44" spans="2:7">
      <c r="B44" s="1" t="s">
        <v>179</v>
      </c>
      <c r="C44" s="14"/>
      <c r="D44" s="14"/>
      <c r="E44" s="14"/>
      <c r="F44" s="14"/>
      <c r="G44" s="14"/>
    </row>
    <row r="45" spans="2:7">
      <c r="B45" s="1" t="s">
        <v>180</v>
      </c>
      <c r="C45" s="14"/>
      <c r="D45" s="14"/>
      <c r="E45" s="14"/>
    </row>
    <row r="46" spans="2:7">
      <c r="C46" s="14"/>
      <c r="D46" s="14"/>
      <c r="E46" s="14"/>
      <c r="F46" s="14"/>
      <c r="G46" s="14"/>
    </row>
    <row r="47" spans="2:7">
      <c r="C47" s="14"/>
      <c r="D47" s="14"/>
      <c r="E47" s="14"/>
      <c r="F47" s="14"/>
      <c r="G47" s="14"/>
    </row>
    <row r="48" spans="2:7">
      <c r="C48" s="14"/>
      <c r="D48" s="14"/>
      <c r="E48" s="14"/>
    </row>
    <row r="49" spans="3:7">
      <c r="C49" s="14"/>
      <c r="D49" s="14"/>
      <c r="E49" s="14"/>
      <c r="F49" s="14"/>
      <c r="G49" s="14"/>
    </row>
    <row r="50" spans="3:7">
      <c r="C50" s="14"/>
      <c r="D50" s="14"/>
      <c r="E50" s="14"/>
      <c r="F50" s="14"/>
      <c r="G50" s="14"/>
    </row>
    <row r="51" spans="3:7">
      <c r="C51" s="14"/>
      <c r="D51" s="14"/>
      <c r="E51" s="14"/>
      <c r="F51" s="14"/>
      <c r="G51" s="14"/>
    </row>
    <row r="52" spans="3:7">
      <c r="C52" s="14"/>
      <c r="E52" s="14"/>
      <c r="F52" s="14"/>
      <c r="G52" s="14"/>
    </row>
    <row r="53" spans="3:7">
      <c r="C53" s="14"/>
      <c r="D53" s="14"/>
      <c r="E53" s="14"/>
      <c r="F53" s="14"/>
      <c r="G53" s="14"/>
    </row>
    <row r="54" spans="3:7">
      <c r="C54" s="14"/>
      <c r="D54" s="14"/>
      <c r="E54" s="14"/>
      <c r="F54" s="14"/>
      <c r="G54" s="14"/>
    </row>
    <row r="55" spans="3:7">
      <c r="C55" s="14"/>
      <c r="D55" s="14"/>
      <c r="E55" s="14"/>
      <c r="F55" s="14"/>
      <c r="G55" s="14"/>
    </row>
    <row r="56" spans="3:7">
      <c r="F56" s="14"/>
      <c r="G56" s="14"/>
    </row>
    <row r="57" spans="3:7">
      <c r="F57" s="14"/>
      <c r="G57" s="14"/>
    </row>
    <row r="58" spans="3:7">
      <c r="F58" s="14"/>
      <c r="G58" s="14"/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DBCD-B2EB-404F-B607-6A4006AB7D8C}">
  <dimension ref="B2:K25"/>
  <sheetViews>
    <sheetView showGridLines="0" zoomScale="60" zoomScaleNormal="60" workbookViewId="0">
      <selection activeCell="D12" sqref="D12"/>
    </sheetView>
  </sheetViews>
  <sheetFormatPr defaultRowHeight="14.5"/>
  <cols>
    <col min="1" max="1" width="3.5" style="1" customWidth="1"/>
    <col min="2" max="2" width="48.6640625" style="1" customWidth="1"/>
    <col min="3" max="11" width="12.5" style="1" customWidth="1"/>
    <col min="12" max="16384" width="8.6640625" style="1"/>
  </cols>
  <sheetData>
    <row r="2" spans="2:11">
      <c r="B2" s="1" t="s">
        <v>4</v>
      </c>
      <c r="C2" s="8"/>
      <c r="D2" s="8"/>
      <c r="E2" s="8"/>
      <c r="F2" s="8"/>
      <c r="G2" s="8"/>
      <c r="H2" s="8"/>
      <c r="I2" s="8"/>
      <c r="J2" s="8"/>
      <c r="K2" s="8"/>
    </row>
    <row r="3" spans="2:11">
      <c r="B3" s="9" t="s">
        <v>3</v>
      </c>
      <c r="C3" s="10">
        <v>45291</v>
      </c>
      <c r="D3" s="10">
        <v>44926</v>
      </c>
      <c r="E3" s="10">
        <v>44561</v>
      </c>
      <c r="F3" s="10">
        <v>44196</v>
      </c>
      <c r="G3" s="10">
        <v>43830</v>
      </c>
      <c r="H3" s="10">
        <v>43465</v>
      </c>
      <c r="I3" s="10">
        <v>43100</v>
      </c>
      <c r="J3" s="10">
        <v>42735</v>
      </c>
      <c r="K3" s="10">
        <v>42369</v>
      </c>
    </row>
    <row r="4" spans="2:11">
      <c r="B4" s="1" t="s">
        <v>13</v>
      </c>
      <c r="C4" s="8">
        <v>574785</v>
      </c>
      <c r="D4" s="8">
        <v>513983</v>
      </c>
      <c r="E4" s="8">
        <v>469822</v>
      </c>
      <c r="F4" s="8">
        <v>386044</v>
      </c>
      <c r="G4" s="8">
        <v>280222</v>
      </c>
      <c r="H4" s="8">
        <v>232887</v>
      </c>
      <c r="I4" s="8">
        <v>177866</v>
      </c>
      <c r="J4" s="8">
        <v>135987</v>
      </c>
      <c r="K4" s="8">
        <v>107006</v>
      </c>
    </row>
    <row r="5" spans="2:11">
      <c r="B5" s="1" t="s">
        <v>249</v>
      </c>
      <c r="C5" s="8">
        <v>304739</v>
      </c>
      <c r="D5" s="8">
        <v>288831</v>
      </c>
      <c r="E5" s="8">
        <v>272344</v>
      </c>
      <c r="F5" s="8">
        <v>233307</v>
      </c>
      <c r="G5" s="8">
        <v>165536</v>
      </c>
      <c r="H5" s="8">
        <v>139156</v>
      </c>
      <c r="I5" s="8">
        <v>111934</v>
      </c>
      <c r="J5" s="8">
        <v>88265</v>
      </c>
      <c r="K5" s="8">
        <v>71651</v>
      </c>
    </row>
    <row r="6" spans="2:11">
      <c r="B6" s="1" t="s">
        <v>5</v>
      </c>
      <c r="C6" s="8">
        <v>270046</v>
      </c>
      <c r="D6" s="8">
        <v>225152</v>
      </c>
      <c r="E6" s="8">
        <v>197478</v>
      </c>
      <c r="F6" s="8">
        <v>152757</v>
      </c>
      <c r="G6" s="8">
        <v>114986</v>
      </c>
      <c r="H6" s="8">
        <v>93731</v>
      </c>
      <c r="I6" s="8">
        <v>65932</v>
      </c>
      <c r="J6" s="8">
        <v>47722</v>
      </c>
      <c r="K6" s="8">
        <v>35355</v>
      </c>
    </row>
    <row r="7" spans="2:11">
      <c r="B7" s="11" t="s">
        <v>15</v>
      </c>
      <c r="C7" s="8">
        <v>85622</v>
      </c>
      <c r="D7" s="8">
        <v>73213</v>
      </c>
      <c r="E7" s="8">
        <v>56052</v>
      </c>
      <c r="F7" s="8">
        <v>42740</v>
      </c>
      <c r="G7" s="8">
        <v>35931</v>
      </c>
      <c r="H7" s="8">
        <v>28837</v>
      </c>
      <c r="I7" s="8">
        <v>22620</v>
      </c>
      <c r="J7" s="8">
        <v>16085</v>
      </c>
      <c r="K7" s="8">
        <v>12540</v>
      </c>
    </row>
    <row r="8" spans="2:11">
      <c r="B8" s="11" t="s">
        <v>251</v>
      </c>
      <c r="C8" s="8">
        <v>146805</v>
      </c>
      <c r="D8" s="8">
        <v>138428</v>
      </c>
      <c r="E8" s="8">
        <v>116485</v>
      </c>
      <c r="F8" s="8">
        <v>87193</v>
      </c>
      <c r="G8" s="8">
        <v>64313</v>
      </c>
      <c r="H8" s="8">
        <v>52177</v>
      </c>
      <c r="I8" s="8">
        <v>38992</v>
      </c>
      <c r="J8" s="8">
        <v>27284</v>
      </c>
      <c r="K8" s="8">
        <v>20411</v>
      </c>
    </row>
    <row r="9" spans="2:11">
      <c r="B9" s="11" t="s">
        <v>6</v>
      </c>
      <c r="C9" s="8">
        <v>-767</v>
      </c>
      <c r="D9" s="8">
        <v>-1263</v>
      </c>
      <c r="E9" s="12">
        <v>-62</v>
      </c>
      <c r="F9" s="12">
        <v>75</v>
      </c>
      <c r="G9" s="8">
        <v>-201</v>
      </c>
      <c r="H9" s="8">
        <v>-296</v>
      </c>
      <c r="I9" s="8">
        <v>-214</v>
      </c>
      <c r="J9" s="8">
        <v>-167</v>
      </c>
      <c r="K9" s="8">
        <v>-171</v>
      </c>
    </row>
    <row r="10" spans="2:11">
      <c r="B10" s="13" t="s">
        <v>16</v>
      </c>
      <c r="C10" s="8">
        <v>233194</v>
      </c>
      <c r="D10" s="8">
        <v>212904</v>
      </c>
      <c r="E10" s="8">
        <v>172599</v>
      </c>
      <c r="F10" s="8">
        <v>129858</v>
      </c>
      <c r="G10" s="8">
        <v>100445</v>
      </c>
      <c r="H10" s="8">
        <v>81310</v>
      </c>
      <c r="I10" s="8">
        <v>61826</v>
      </c>
      <c r="J10" s="8">
        <v>43536</v>
      </c>
      <c r="K10" s="8">
        <v>33122</v>
      </c>
    </row>
    <row r="11" spans="2:11">
      <c r="B11" s="1" t="s">
        <v>209</v>
      </c>
      <c r="C11" s="8">
        <v>36852</v>
      </c>
      <c r="D11" s="8">
        <v>12248</v>
      </c>
      <c r="E11" s="8">
        <v>24879</v>
      </c>
      <c r="F11" s="8">
        <v>22899</v>
      </c>
      <c r="G11" s="8">
        <v>14541</v>
      </c>
      <c r="H11" s="8">
        <v>12421</v>
      </c>
      <c r="I11" s="8">
        <v>4106</v>
      </c>
      <c r="J11" s="8">
        <v>4186</v>
      </c>
      <c r="K11" s="8">
        <v>2233</v>
      </c>
    </row>
    <row r="12" spans="2:11">
      <c r="B12" s="13" t="s">
        <v>17</v>
      </c>
      <c r="C12" s="8">
        <v>705</v>
      </c>
      <c r="D12" s="8">
        <v>-18184</v>
      </c>
      <c r="E12" s="8">
        <v>13272</v>
      </c>
      <c r="F12" s="8">
        <v>1279</v>
      </c>
      <c r="G12" s="8">
        <v>-565</v>
      </c>
      <c r="H12" s="8">
        <v>-1160</v>
      </c>
      <c r="I12" s="8">
        <v>-300</v>
      </c>
      <c r="J12" s="12">
        <v>-294</v>
      </c>
      <c r="K12" s="8">
        <v>-665</v>
      </c>
    </row>
    <row r="13" spans="2:11">
      <c r="B13" s="1" t="s">
        <v>7</v>
      </c>
      <c r="C13" s="8">
        <v>37557</v>
      </c>
      <c r="D13" s="8">
        <v>-5936</v>
      </c>
      <c r="E13" s="8">
        <v>38151</v>
      </c>
      <c r="F13" s="8">
        <v>24178</v>
      </c>
      <c r="G13" s="8">
        <v>13976</v>
      </c>
      <c r="H13" s="8">
        <v>11261</v>
      </c>
      <c r="I13" s="8">
        <v>3806</v>
      </c>
      <c r="J13" s="8">
        <v>3892</v>
      </c>
      <c r="K13" s="8">
        <v>1568</v>
      </c>
    </row>
    <row r="14" spans="2:11">
      <c r="B14" s="1" t="s">
        <v>182</v>
      </c>
      <c r="C14" s="8">
        <v>7120</v>
      </c>
      <c r="D14" s="8">
        <v>-3217</v>
      </c>
      <c r="E14" s="8">
        <v>4791</v>
      </c>
      <c r="F14" s="8">
        <v>2863</v>
      </c>
      <c r="G14" s="8">
        <v>2374</v>
      </c>
      <c r="H14" s="8">
        <v>1197</v>
      </c>
      <c r="I14" s="8">
        <v>769</v>
      </c>
      <c r="J14" s="8">
        <v>1425</v>
      </c>
      <c r="K14" s="12">
        <v>950</v>
      </c>
    </row>
    <row r="15" spans="2:11">
      <c r="B15" s="1" t="s">
        <v>8</v>
      </c>
      <c r="C15" s="8">
        <v>30437</v>
      </c>
      <c r="D15" s="8">
        <v>-2719</v>
      </c>
      <c r="E15" s="8">
        <v>33360</v>
      </c>
      <c r="F15" s="8">
        <v>21315</v>
      </c>
      <c r="G15" s="8">
        <v>11602</v>
      </c>
      <c r="H15" s="8">
        <v>10064</v>
      </c>
      <c r="I15" s="8">
        <v>3037</v>
      </c>
      <c r="J15" s="8">
        <v>2467</v>
      </c>
      <c r="K15" s="8">
        <v>618</v>
      </c>
    </row>
    <row r="16" spans="2:11">
      <c r="B16" s="1" t="s">
        <v>26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2:11">
      <c r="B17" s="1" t="s">
        <v>9</v>
      </c>
      <c r="C17" s="8">
        <v>30425</v>
      </c>
      <c r="D17" s="8">
        <v>-2722</v>
      </c>
      <c r="E17" s="8">
        <v>33364</v>
      </c>
      <c r="F17" s="8">
        <v>21331</v>
      </c>
      <c r="G17" s="8">
        <v>11588</v>
      </c>
      <c r="H17" s="8">
        <v>10073</v>
      </c>
      <c r="I17" s="8">
        <v>3033</v>
      </c>
      <c r="J17" s="8">
        <v>2371</v>
      </c>
      <c r="K17" s="8">
        <v>596</v>
      </c>
    </row>
    <row r="18" spans="2:11">
      <c r="B18" s="1" t="s">
        <v>18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</row>
    <row r="19" spans="2:11">
      <c r="B19" s="1" t="s">
        <v>19</v>
      </c>
      <c r="C19" s="8">
        <v>30425</v>
      </c>
      <c r="D19" s="8">
        <v>-2722</v>
      </c>
      <c r="E19" s="8">
        <v>33364</v>
      </c>
      <c r="F19" s="8">
        <v>21331</v>
      </c>
      <c r="G19" s="8">
        <v>11588</v>
      </c>
      <c r="H19" s="8">
        <v>10073</v>
      </c>
      <c r="I19" s="8">
        <v>3033</v>
      </c>
      <c r="J19" s="8">
        <v>2371</v>
      </c>
      <c r="K19" s="8">
        <v>596</v>
      </c>
    </row>
    <row r="20" spans="2:11">
      <c r="B20" s="1" t="s">
        <v>21</v>
      </c>
      <c r="C20" s="8">
        <v>85515</v>
      </c>
      <c r="D20" s="8">
        <v>54169</v>
      </c>
      <c r="E20" s="8">
        <v>59312</v>
      </c>
      <c r="F20" s="8">
        <v>48079</v>
      </c>
      <c r="G20" s="8">
        <v>36330</v>
      </c>
      <c r="H20" s="8">
        <v>27762</v>
      </c>
      <c r="I20" s="8">
        <v>15584</v>
      </c>
      <c r="J20" s="8">
        <v>12302</v>
      </c>
      <c r="K20" s="8">
        <v>8514</v>
      </c>
    </row>
    <row r="21" spans="2:11">
      <c r="B21" s="1" t="s">
        <v>25</v>
      </c>
      <c r="C21" s="8">
        <v>36852</v>
      </c>
      <c r="D21" s="8">
        <v>12248</v>
      </c>
      <c r="E21" s="8">
        <v>24879</v>
      </c>
      <c r="F21" s="8">
        <v>22899</v>
      </c>
      <c r="G21" s="8">
        <v>14541</v>
      </c>
      <c r="H21" s="8">
        <v>12421</v>
      </c>
      <c r="I21" s="8">
        <v>4106</v>
      </c>
      <c r="J21" s="8">
        <v>4186</v>
      </c>
      <c r="K21" s="8">
        <v>2233</v>
      </c>
    </row>
    <row r="22" spans="2:11">
      <c r="B22" s="1" t="s">
        <v>23</v>
      </c>
      <c r="C22" s="14">
        <v>10304</v>
      </c>
      <c r="D22" s="14">
        <v>10189</v>
      </c>
      <c r="E22" s="14">
        <v>10117</v>
      </c>
      <c r="F22" s="14">
        <v>10005</v>
      </c>
      <c r="G22" s="14">
        <v>9880</v>
      </c>
      <c r="H22" s="1">
        <v>9740</v>
      </c>
      <c r="I22" s="14">
        <v>9600</v>
      </c>
      <c r="J22" s="14">
        <v>9480</v>
      </c>
      <c r="K22" s="14">
        <v>9340</v>
      </c>
    </row>
    <row r="23" spans="2:11">
      <c r="B23" s="1" t="s">
        <v>28</v>
      </c>
      <c r="C23" s="14">
        <v>10492</v>
      </c>
      <c r="D23" s="14">
        <v>10189</v>
      </c>
      <c r="E23" s="14">
        <v>10296</v>
      </c>
      <c r="F23" s="14">
        <v>10198</v>
      </c>
      <c r="G23" s="14">
        <v>10080</v>
      </c>
      <c r="H23" s="14">
        <v>10000</v>
      </c>
      <c r="I23" s="14">
        <v>9860</v>
      </c>
      <c r="J23" s="14">
        <v>9680</v>
      </c>
      <c r="K23" s="14">
        <v>9540</v>
      </c>
    </row>
    <row r="24" spans="2:11">
      <c r="B24" s="1" t="s">
        <v>29</v>
      </c>
      <c r="C24" s="12">
        <v>2.95</v>
      </c>
      <c r="D24" s="12">
        <v>-0.27</v>
      </c>
      <c r="E24" s="12">
        <v>3.3</v>
      </c>
      <c r="F24" s="12">
        <v>2.13</v>
      </c>
      <c r="G24" s="12">
        <v>1.17</v>
      </c>
      <c r="H24" s="12">
        <v>1.03</v>
      </c>
      <c r="I24" s="12">
        <v>0.32</v>
      </c>
      <c r="J24" s="12">
        <v>0.25</v>
      </c>
      <c r="K24" s="12">
        <v>0.06</v>
      </c>
    </row>
    <row r="25" spans="2:11">
      <c r="B25" s="1" t="s">
        <v>31</v>
      </c>
      <c r="C25" s="12">
        <v>2.9</v>
      </c>
      <c r="D25" s="12">
        <v>-0.27</v>
      </c>
      <c r="E25" s="12">
        <v>3.24</v>
      </c>
      <c r="F25" s="12">
        <v>2.09</v>
      </c>
      <c r="G25" s="12">
        <v>1.1499999999999999</v>
      </c>
      <c r="H25" s="12">
        <v>1.01</v>
      </c>
      <c r="I25" s="12">
        <v>0.31</v>
      </c>
      <c r="J25" s="12">
        <v>0.24</v>
      </c>
      <c r="K25" s="12">
        <v>0.06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F382-0C97-4435-9B8F-D7EDD4D76D0C}">
  <dimension ref="B2:M32"/>
  <sheetViews>
    <sheetView showGridLines="0" zoomScale="60" zoomScaleNormal="60" workbookViewId="0">
      <selection activeCell="B26" sqref="B26"/>
    </sheetView>
  </sheetViews>
  <sheetFormatPr defaultRowHeight="14.5"/>
  <cols>
    <col min="1" max="1" width="3.25" style="1" customWidth="1"/>
    <col min="2" max="2" width="48.58203125" style="1" customWidth="1"/>
    <col min="3" max="11" width="12.58203125" style="1" customWidth="1"/>
    <col min="12" max="12" width="24.4140625" style="1" bestFit="1" customWidth="1"/>
    <col min="13" max="13" width="9.6640625" style="1" bestFit="1" customWidth="1"/>
    <col min="14" max="14" width="11.58203125" style="1" bestFit="1" customWidth="1"/>
    <col min="15" max="15" width="23.4140625" style="1" bestFit="1" customWidth="1"/>
    <col min="16" max="16" width="8.6640625" style="1"/>
    <col min="17" max="17" width="11.58203125" style="1" bestFit="1" customWidth="1"/>
    <col min="18" max="18" width="11.1640625" style="1" bestFit="1" customWidth="1"/>
    <col min="19" max="20" width="11.58203125" style="1" bestFit="1" customWidth="1"/>
    <col min="21" max="16384" width="8.6640625" style="1"/>
  </cols>
  <sheetData>
    <row r="2" spans="2:13">
      <c r="B2" s="1" t="s">
        <v>35</v>
      </c>
    </row>
    <row r="3" spans="2:13">
      <c r="B3" s="9" t="s">
        <v>3</v>
      </c>
      <c r="C3" s="10">
        <v>45291</v>
      </c>
      <c r="D3" s="10">
        <v>44926</v>
      </c>
      <c r="E3" s="10">
        <v>44561</v>
      </c>
      <c r="F3" s="10">
        <v>44196</v>
      </c>
      <c r="G3" s="10">
        <v>43830</v>
      </c>
      <c r="H3" s="10">
        <v>43465</v>
      </c>
      <c r="I3" s="10">
        <v>43100</v>
      </c>
      <c r="J3" s="10">
        <v>42735</v>
      </c>
      <c r="K3" s="10">
        <v>42369</v>
      </c>
    </row>
    <row r="4" spans="2:13">
      <c r="B4" s="11" t="s">
        <v>36</v>
      </c>
      <c r="C4" s="8">
        <v>86780</v>
      </c>
      <c r="D4" s="8">
        <v>70026</v>
      </c>
      <c r="E4" s="8">
        <v>96049</v>
      </c>
      <c r="F4" s="8">
        <v>84396</v>
      </c>
      <c r="G4" s="8">
        <v>55021</v>
      </c>
      <c r="H4" s="8">
        <v>41250</v>
      </c>
      <c r="I4" s="8">
        <v>30986</v>
      </c>
      <c r="J4" s="8">
        <v>25981</v>
      </c>
      <c r="K4" s="8">
        <v>19808</v>
      </c>
      <c r="L4" s="8"/>
      <c r="M4" s="8"/>
    </row>
    <row r="5" spans="2:13">
      <c r="B5" s="11" t="s">
        <v>230</v>
      </c>
      <c r="C5" s="8">
        <v>52253</v>
      </c>
      <c r="D5" s="8">
        <v>42360</v>
      </c>
      <c r="E5" s="8">
        <v>32891</v>
      </c>
      <c r="F5" s="8">
        <v>24542</v>
      </c>
      <c r="G5" s="8">
        <v>20816</v>
      </c>
      <c r="H5" s="8">
        <v>16677</v>
      </c>
      <c r="I5" s="8">
        <v>13164</v>
      </c>
      <c r="J5" s="8">
        <v>8339</v>
      </c>
      <c r="K5" s="8">
        <v>5654</v>
      </c>
      <c r="L5" s="8"/>
    </row>
    <row r="6" spans="2:13">
      <c r="B6" s="11" t="s">
        <v>49</v>
      </c>
      <c r="C6" s="8">
        <v>33318</v>
      </c>
      <c r="D6" s="8">
        <v>34405</v>
      </c>
      <c r="E6" s="8">
        <v>32640</v>
      </c>
      <c r="F6" s="8">
        <v>23795</v>
      </c>
      <c r="G6" s="8">
        <v>20497</v>
      </c>
      <c r="H6" s="8">
        <v>17174</v>
      </c>
      <c r="I6" s="8">
        <v>16047</v>
      </c>
      <c r="J6" s="8">
        <v>11461</v>
      </c>
      <c r="K6" s="8">
        <v>10243</v>
      </c>
      <c r="L6" s="8"/>
      <c r="M6" s="8"/>
    </row>
    <row r="7" spans="2:13">
      <c r="B7" s="11" t="s">
        <v>50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/>
      <c r="M7" s="8"/>
    </row>
    <row r="8" spans="2:13">
      <c r="B8" s="11" t="s">
        <v>51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/>
      <c r="M8" s="8"/>
    </row>
    <row r="9" spans="2:13">
      <c r="B9" s="1" t="s">
        <v>285</v>
      </c>
      <c r="C9" s="8">
        <v>172351</v>
      </c>
      <c r="D9" s="8">
        <v>146791</v>
      </c>
      <c r="E9" s="8">
        <v>161580</v>
      </c>
      <c r="F9" s="8">
        <v>132733</v>
      </c>
      <c r="G9" s="8">
        <v>96334</v>
      </c>
      <c r="H9" s="8">
        <v>75101</v>
      </c>
      <c r="I9" s="8">
        <v>60197</v>
      </c>
      <c r="J9" s="8">
        <v>45781</v>
      </c>
      <c r="K9" s="8">
        <v>35705</v>
      </c>
      <c r="L9" s="8"/>
    </row>
    <row r="10" spans="2:13">
      <c r="B10" s="15" t="s">
        <v>52</v>
      </c>
      <c r="C10" s="8">
        <v>204177</v>
      </c>
      <c r="D10" s="8">
        <v>186715</v>
      </c>
      <c r="E10" s="8">
        <v>160281</v>
      </c>
      <c r="F10" s="8">
        <v>113114</v>
      </c>
      <c r="G10" s="8">
        <v>72705</v>
      </c>
      <c r="H10" s="8">
        <v>61797</v>
      </c>
      <c r="I10" s="8">
        <v>48866</v>
      </c>
      <c r="J10" s="8">
        <v>29114</v>
      </c>
      <c r="K10" s="8">
        <v>21838</v>
      </c>
    </row>
    <row r="11" spans="2:13">
      <c r="B11" s="15" t="s">
        <v>53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</row>
    <row r="12" spans="2:13">
      <c r="B12" s="15" t="s">
        <v>37</v>
      </c>
      <c r="C12" s="8">
        <v>22789</v>
      </c>
      <c r="D12" s="8">
        <v>20288</v>
      </c>
      <c r="E12" s="8">
        <v>15371</v>
      </c>
      <c r="F12" s="8">
        <v>15017</v>
      </c>
      <c r="G12" s="8">
        <v>14754</v>
      </c>
      <c r="H12" s="8">
        <v>14548</v>
      </c>
      <c r="I12" s="8">
        <v>13350</v>
      </c>
      <c r="J12" s="8">
        <v>3784</v>
      </c>
      <c r="K12" s="8">
        <v>3759</v>
      </c>
    </row>
    <row r="13" spans="2:13">
      <c r="B13" s="15" t="s">
        <v>38</v>
      </c>
      <c r="C13" s="8">
        <v>56024</v>
      </c>
      <c r="D13" s="8">
        <v>42758</v>
      </c>
      <c r="E13" s="8">
        <v>27235</v>
      </c>
      <c r="F13" s="8">
        <v>22778</v>
      </c>
      <c r="G13" s="8">
        <v>16314</v>
      </c>
      <c r="H13" s="8">
        <v>11202</v>
      </c>
      <c r="I13" s="8">
        <v>8897</v>
      </c>
      <c r="J13" s="8">
        <v>4723</v>
      </c>
      <c r="K13" s="8">
        <v>3445</v>
      </c>
      <c r="L13" s="8"/>
      <c r="M13" s="8"/>
    </row>
    <row r="14" spans="2:13">
      <c r="B14" s="11" t="s">
        <v>39</v>
      </c>
      <c r="C14" s="8">
        <v>355503</v>
      </c>
      <c r="D14" s="8">
        <v>315884</v>
      </c>
      <c r="E14" s="8">
        <v>258969</v>
      </c>
      <c r="F14" s="8">
        <v>188462</v>
      </c>
      <c r="G14" s="8">
        <v>128914</v>
      </c>
      <c r="H14" s="8">
        <v>87547</v>
      </c>
      <c r="I14" s="8">
        <v>71113</v>
      </c>
      <c r="J14" s="8">
        <v>37621</v>
      </c>
      <c r="K14" s="8">
        <v>29042</v>
      </c>
      <c r="L14" s="8"/>
      <c r="M14" s="8"/>
    </row>
    <row r="15" spans="2:13">
      <c r="B15" s="1" t="s">
        <v>32</v>
      </c>
      <c r="C15" s="8">
        <v>527854</v>
      </c>
      <c r="D15" s="8">
        <v>462675</v>
      </c>
      <c r="E15" s="8">
        <v>420549</v>
      </c>
      <c r="F15" s="8">
        <v>321195</v>
      </c>
      <c r="G15" s="8">
        <v>225248</v>
      </c>
      <c r="H15" s="8">
        <v>162648</v>
      </c>
      <c r="I15" s="8">
        <v>131310</v>
      </c>
      <c r="J15" s="8">
        <v>83402</v>
      </c>
      <c r="K15" s="8">
        <v>64747</v>
      </c>
    </row>
    <row r="16" spans="2:13">
      <c r="B16" s="11" t="s">
        <v>231</v>
      </c>
      <c r="C16" s="8">
        <v>164917</v>
      </c>
      <c r="D16" s="12">
        <v>155393</v>
      </c>
      <c r="E16" s="8">
        <v>142266</v>
      </c>
      <c r="F16" s="8">
        <v>126385</v>
      </c>
      <c r="G16" s="8">
        <v>87812</v>
      </c>
      <c r="H16" s="8">
        <v>68391</v>
      </c>
      <c r="I16" s="8">
        <v>57883</v>
      </c>
      <c r="J16" s="8">
        <v>43816</v>
      </c>
      <c r="K16" s="8">
        <v>33887</v>
      </c>
      <c r="L16" s="8"/>
      <c r="M16" s="8"/>
    </row>
    <row r="17" spans="2:13">
      <c r="B17" s="15" t="s">
        <v>40</v>
      </c>
      <c r="C17" s="8">
        <v>58314</v>
      </c>
      <c r="D17" s="8">
        <v>67150</v>
      </c>
      <c r="E17" s="8">
        <v>48744</v>
      </c>
      <c r="F17" s="8">
        <v>31816</v>
      </c>
      <c r="G17" s="8">
        <v>23414</v>
      </c>
      <c r="H17" s="8">
        <v>23495</v>
      </c>
      <c r="I17" s="8">
        <v>24743</v>
      </c>
      <c r="J17" s="8">
        <v>7694</v>
      </c>
      <c r="K17" s="8">
        <v>8227</v>
      </c>
      <c r="L17" s="8"/>
      <c r="M17" s="8"/>
    </row>
    <row r="18" spans="2:13">
      <c r="B18" s="15" t="s">
        <v>33</v>
      </c>
      <c r="C18" s="8">
        <v>25451</v>
      </c>
      <c r="D18" s="8">
        <v>21121</v>
      </c>
      <c r="E18" s="8">
        <v>23643</v>
      </c>
      <c r="F18" s="8">
        <v>17017</v>
      </c>
      <c r="G18" s="8">
        <v>12171</v>
      </c>
      <c r="H18" s="8">
        <v>17563</v>
      </c>
      <c r="I18" s="8">
        <v>20975</v>
      </c>
      <c r="J18" s="8">
        <v>12607</v>
      </c>
      <c r="K18" s="8">
        <v>9249</v>
      </c>
      <c r="L18" s="8"/>
      <c r="M18" s="8"/>
    </row>
    <row r="19" spans="2:13">
      <c r="B19" s="11" t="s">
        <v>41</v>
      </c>
      <c r="C19" s="8">
        <v>161062</v>
      </c>
      <c r="D19" s="8">
        <v>161239</v>
      </c>
      <c r="E19" s="8">
        <v>140038</v>
      </c>
      <c r="F19" s="8">
        <v>101406</v>
      </c>
      <c r="G19" s="8">
        <v>75376</v>
      </c>
      <c r="H19" s="8">
        <v>50708</v>
      </c>
      <c r="I19" s="8">
        <v>45718</v>
      </c>
      <c r="J19" s="8">
        <v>20301</v>
      </c>
      <c r="K19" s="8">
        <v>17476</v>
      </c>
      <c r="L19" s="8"/>
      <c r="M19" s="8"/>
    </row>
    <row r="20" spans="2:13">
      <c r="B20" s="1" t="s">
        <v>34</v>
      </c>
      <c r="C20" s="8">
        <v>325979</v>
      </c>
      <c r="D20" s="8">
        <v>316632</v>
      </c>
      <c r="E20" s="8">
        <v>282304</v>
      </c>
      <c r="F20" s="8">
        <v>227791</v>
      </c>
      <c r="G20" s="8">
        <v>163188</v>
      </c>
      <c r="H20" s="8">
        <v>119099</v>
      </c>
      <c r="I20" s="8">
        <v>103601</v>
      </c>
      <c r="J20" s="8">
        <v>64117</v>
      </c>
      <c r="K20" s="8">
        <v>51363</v>
      </c>
    </row>
    <row r="21" spans="2:13">
      <c r="B21" s="15" t="s">
        <v>42</v>
      </c>
      <c r="C21" s="8">
        <v>109</v>
      </c>
      <c r="D21" s="8">
        <v>108</v>
      </c>
      <c r="E21" s="8">
        <v>106</v>
      </c>
      <c r="F21" s="8">
        <v>5</v>
      </c>
      <c r="G21" s="8">
        <v>5</v>
      </c>
      <c r="H21" s="8">
        <v>5</v>
      </c>
      <c r="I21" s="8">
        <v>5</v>
      </c>
      <c r="J21" s="8">
        <v>5</v>
      </c>
      <c r="K21" s="8">
        <v>5</v>
      </c>
      <c r="L21" s="8"/>
      <c r="M21" s="8"/>
    </row>
    <row r="22" spans="2:13">
      <c r="B22" s="15" t="s">
        <v>43</v>
      </c>
      <c r="C22" s="8">
        <v>113618</v>
      </c>
      <c r="D22" s="8">
        <v>83193</v>
      </c>
      <c r="E22" s="8">
        <v>85915</v>
      </c>
      <c r="F22" s="8">
        <v>52551</v>
      </c>
      <c r="G22" s="8">
        <v>31220</v>
      </c>
      <c r="H22" s="8">
        <v>19625</v>
      </c>
      <c r="I22" s="8">
        <v>8636</v>
      </c>
      <c r="J22" s="8">
        <v>4916</v>
      </c>
      <c r="K22" s="8">
        <v>2545</v>
      </c>
      <c r="L22" s="8"/>
      <c r="M22" s="8"/>
    </row>
    <row r="23" spans="2:13">
      <c r="B23" s="15" t="s">
        <v>44</v>
      </c>
      <c r="C23" s="8">
        <v>-3040</v>
      </c>
      <c r="D23" s="8">
        <v>-4487</v>
      </c>
      <c r="E23" s="8">
        <v>-1376</v>
      </c>
      <c r="F23" s="8">
        <v>-180</v>
      </c>
      <c r="G23" s="8">
        <v>-986</v>
      </c>
      <c r="H23" s="8">
        <v>-1035</v>
      </c>
      <c r="I23" s="8">
        <v>-484</v>
      </c>
      <c r="J23" s="8">
        <v>-985</v>
      </c>
      <c r="K23" s="12">
        <v>-723</v>
      </c>
    </row>
    <row r="24" spans="2:13">
      <c r="B24" s="15" t="s">
        <v>47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12">
        <v>0</v>
      </c>
    </row>
    <row r="25" spans="2:13">
      <c r="B25" s="1" t="s">
        <v>127</v>
      </c>
      <c r="C25" s="8">
        <v>201875</v>
      </c>
      <c r="D25" s="8">
        <v>146043</v>
      </c>
      <c r="E25" s="8">
        <v>138245</v>
      </c>
      <c r="F25" s="8">
        <v>93404</v>
      </c>
      <c r="G25" s="8">
        <v>62060</v>
      </c>
      <c r="H25" s="8">
        <v>43549</v>
      </c>
      <c r="I25" s="8">
        <v>27709</v>
      </c>
      <c r="J25" s="8">
        <v>19285</v>
      </c>
      <c r="K25" s="8">
        <v>13384</v>
      </c>
      <c r="L25" s="8"/>
      <c r="M25" s="8"/>
    </row>
    <row r="26" spans="2:13">
      <c r="B26" s="1" t="s">
        <v>45</v>
      </c>
      <c r="C26" s="8">
        <v>527854</v>
      </c>
      <c r="D26" s="8">
        <v>462675</v>
      </c>
      <c r="E26" s="8">
        <v>420549</v>
      </c>
      <c r="F26" s="8">
        <v>321195</v>
      </c>
      <c r="G26" s="8">
        <v>225248</v>
      </c>
      <c r="H26" s="8">
        <v>162648</v>
      </c>
      <c r="I26" s="8">
        <v>131310</v>
      </c>
      <c r="J26" s="8">
        <v>583402</v>
      </c>
      <c r="K26" s="8">
        <v>64747</v>
      </c>
      <c r="L26" s="8"/>
      <c r="M26" s="8"/>
    </row>
    <row r="27" spans="2:13">
      <c r="G27" s="8"/>
      <c r="J27" s="8"/>
      <c r="K27" s="8"/>
      <c r="M27" s="8"/>
    </row>
    <row r="28" spans="2:13">
      <c r="G28" s="8"/>
      <c r="J28" s="8"/>
      <c r="K28" s="8"/>
      <c r="L28" s="8"/>
      <c r="M28" s="8"/>
    </row>
    <row r="29" spans="2:13">
      <c r="M29" s="12"/>
    </row>
    <row r="30" spans="2:13">
      <c r="H30" s="8"/>
      <c r="I30" s="8"/>
      <c r="J30" s="8"/>
    </row>
    <row r="31" spans="2:13">
      <c r="J31" s="8"/>
      <c r="K31" s="8"/>
      <c r="L31" s="8"/>
      <c r="M31" s="8"/>
    </row>
    <row r="32" spans="2:13">
      <c r="M32" s="8"/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DF03-655B-4F9F-896B-2ABFBD934F3D}">
  <dimension ref="B2:K32"/>
  <sheetViews>
    <sheetView showGridLines="0" zoomScale="60" zoomScaleNormal="60" workbookViewId="0">
      <selection activeCell="B9" sqref="B9"/>
    </sheetView>
  </sheetViews>
  <sheetFormatPr defaultRowHeight="14.5"/>
  <cols>
    <col min="1" max="1" width="2.83203125" style="1" customWidth="1"/>
    <col min="2" max="2" width="48.58203125" style="1" customWidth="1"/>
    <col min="3" max="11" width="12.5" style="1" customWidth="1"/>
    <col min="12" max="16384" width="8.6640625" style="1"/>
  </cols>
  <sheetData>
    <row r="2" spans="2:11">
      <c r="B2" s="1" t="s">
        <v>71</v>
      </c>
    </row>
    <row r="3" spans="2:11">
      <c r="B3" s="16" t="s">
        <v>3</v>
      </c>
      <c r="C3" s="10">
        <v>45291</v>
      </c>
      <c r="D3" s="10">
        <v>44926</v>
      </c>
      <c r="E3" s="10">
        <v>44561</v>
      </c>
      <c r="F3" s="10">
        <v>44196</v>
      </c>
      <c r="G3" s="10">
        <v>43830</v>
      </c>
      <c r="H3" s="10">
        <v>43465</v>
      </c>
      <c r="I3" s="10">
        <v>43100</v>
      </c>
      <c r="J3" s="10">
        <v>42735</v>
      </c>
      <c r="K3" s="10">
        <v>42369</v>
      </c>
    </row>
    <row r="4" spans="2:11">
      <c r="B4" s="11" t="s">
        <v>54</v>
      </c>
      <c r="C4" s="8">
        <v>30425</v>
      </c>
      <c r="D4" s="8">
        <v>-2722</v>
      </c>
      <c r="E4" s="8">
        <v>33364</v>
      </c>
      <c r="F4" s="8">
        <v>21331</v>
      </c>
      <c r="G4" s="8">
        <v>11588</v>
      </c>
      <c r="H4" s="8">
        <v>10073</v>
      </c>
      <c r="I4" s="8">
        <v>3033</v>
      </c>
      <c r="J4" s="8">
        <v>2371</v>
      </c>
      <c r="K4" s="8">
        <v>596</v>
      </c>
    </row>
    <row r="5" spans="2:11">
      <c r="B5" s="11" t="s">
        <v>208</v>
      </c>
      <c r="C5" s="8">
        <v>48663</v>
      </c>
      <c r="D5" s="8">
        <v>41921</v>
      </c>
      <c r="E5" s="8">
        <v>34433</v>
      </c>
      <c r="F5" s="8">
        <v>25180</v>
      </c>
      <c r="G5" s="8">
        <v>21789</v>
      </c>
      <c r="H5" s="8">
        <v>15341</v>
      </c>
      <c r="I5" s="8">
        <v>11478</v>
      </c>
      <c r="J5" s="8">
        <v>8116</v>
      </c>
      <c r="K5" s="8">
        <v>6281</v>
      </c>
    </row>
    <row r="6" spans="2:11">
      <c r="B6" s="11" t="s">
        <v>55</v>
      </c>
      <c r="C6" s="8">
        <v>17399</v>
      </c>
      <c r="D6" s="8">
        <v>28439</v>
      </c>
      <c r="E6" s="8">
        <v>-1859</v>
      </c>
      <c r="F6" s="8">
        <v>6072</v>
      </c>
      <c r="G6" s="8">
        <v>7575</v>
      </c>
      <c r="H6" s="8">
        <v>6078</v>
      </c>
      <c r="I6" s="8">
        <v>3894</v>
      </c>
      <c r="J6" s="8">
        <v>2709</v>
      </c>
      <c r="K6" s="8">
        <v>2450</v>
      </c>
    </row>
    <row r="7" spans="2:11">
      <c r="B7" s="11" t="s">
        <v>56</v>
      </c>
      <c r="C7" s="8">
        <v>66062</v>
      </c>
      <c r="D7" s="8">
        <v>70360</v>
      </c>
      <c r="E7" s="8">
        <v>32574</v>
      </c>
      <c r="F7" s="8">
        <v>31252</v>
      </c>
      <c r="G7" s="8">
        <v>29364</v>
      </c>
      <c r="H7" s="8">
        <v>21419</v>
      </c>
      <c r="I7" s="8">
        <v>15372</v>
      </c>
      <c r="J7" s="8">
        <v>10825</v>
      </c>
      <c r="K7" s="8">
        <v>8731</v>
      </c>
    </row>
    <row r="8" spans="2:11">
      <c r="B8" s="11" t="s">
        <v>57</v>
      </c>
      <c r="C8" s="8">
        <v>-8348</v>
      </c>
      <c r="D8" s="8">
        <v>-8622</v>
      </c>
      <c r="E8" s="8">
        <v>-9145</v>
      </c>
      <c r="F8" s="8">
        <v>-8169</v>
      </c>
      <c r="G8" s="8">
        <v>-7681</v>
      </c>
      <c r="H8" s="8">
        <v>-4615</v>
      </c>
      <c r="I8" s="8">
        <v>-4780</v>
      </c>
      <c r="J8" s="8">
        <v>-3436</v>
      </c>
      <c r="K8" s="8">
        <v>-1755</v>
      </c>
    </row>
    <row r="9" spans="2:11">
      <c r="B9" s="11" t="s">
        <v>58</v>
      </c>
      <c r="C9" s="8">
        <v>1449</v>
      </c>
      <c r="D9" s="8">
        <v>-2592</v>
      </c>
      <c r="E9" s="8">
        <v>-9487</v>
      </c>
      <c r="F9" s="8">
        <v>-2849</v>
      </c>
      <c r="G9" s="8">
        <v>-3278</v>
      </c>
      <c r="H9" s="8">
        <v>-1314</v>
      </c>
      <c r="I9" s="8">
        <v>-3583</v>
      </c>
      <c r="J9" s="8">
        <v>-1426</v>
      </c>
      <c r="K9" s="8">
        <v>-2187</v>
      </c>
    </row>
    <row r="10" spans="2:11">
      <c r="B10" s="11" t="s">
        <v>59</v>
      </c>
      <c r="C10" s="8">
        <v>5473</v>
      </c>
      <c r="D10" s="8">
        <v>2945</v>
      </c>
      <c r="E10" s="8">
        <v>3602</v>
      </c>
      <c r="F10" s="8">
        <v>17480</v>
      </c>
      <c r="G10" s="8">
        <v>8193</v>
      </c>
      <c r="H10" s="8">
        <v>3263</v>
      </c>
      <c r="I10" s="8">
        <v>7100</v>
      </c>
      <c r="J10" s="8">
        <v>5030</v>
      </c>
      <c r="K10" s="8">
        <v>4294</v>
      </c>
    </row>
    <row r="11" spans="2:11">
      <c r="B11" s="11" t="s">
        <v>60</v>
      </c>
      <c r="C11" s="8">
        <v>-7687</v>
      </c>
      <c r="D11" s="8">
        <v>-11059</v>
      </c>
      <c r="E11" s="8">
        <v>-6704</v>
      </c>
      <c r="F11" s="8">
        <v>1265</v>
      </c>
      <c r="G11" s="8">
        <v>1711</v>
      </c>
      <c r="H11" s="8">
        <v>1151</v>
      </c>
      <c r="I11" s="8">
        <v>738</v>
      </c>
      <c r="J11" s="8">
        <v>1955</v>
      </c>
      <c r="K11" s="8">
        <v>1292</v>
      </c>
    </row>
    <row r="12" spans="2:11">
      <c r="B12" s="11" t="s">
        <v>61</v>
      </c>
      <c r="C12" s="8">
        <v>-11541</v>
      </c>
      <c r="D12" s="8">
        <v>-20886</v>
      </c>
      <c r="E12" s="8">
        <v>-19611</v>
      </c>
      <c r="F12" s="8">
        <v>13481</v>
      </c>
      <c r="G12" s="8">
        <v>-2438</v>
      </c>
      <c r="H12" s="8">
        <v>-1043</v>
      </c>
      <c r="I12" s="8">
        <v>-242</v>
      </c>
      <c r="J12" s="8">
        <v>3847</v>
      </c>
      <c r="K12" s="8">
        <v>2557</v>
      </c>
    </row>
    <row r="13" spans="2:11">
      <c r="B13" s="1" t="s">
        <v>62</v>
      </c>
      <c r="C13" s="8">
        <v>84946</v>
      </c>
      <c r="D13" s="8">
        <v>46752</v>
      </c>
      <c r="E13" s="8">
        <v>46327</v>
      </c>
      <c r="F13" s="8">
        <v>66064</v>
      </c>
      <c r="G13" s="8">
        <v>38514</v>
      </c>
      <c r="H13" s="8">
        <v>30723</v>
      </c>
      <c r="I13" s="8">
        <v>18365</v>
      </c>
      <c r="J13" s="8">
        <v>17203</v>
      </c>
      <c r="K13" s="8">
        <v>12039</v>
      </c>
    </row>
    <row r="14" spans="2:11">
      <c r="B14" s="11" t="s">
        <v>72</v>
      </c>
      <c r="C14" s="8">
        <v>-48133</v>
      </c>
      <c r="D14" s="8">
        <v>-58321</v>
      </c>
      <c r="E14" s="8">
        <v>-55396</v>
      </c>
      <c r="F14" s="8">
        <v>-35044</v>
      </c>
      <c r="G14" s="8">
        <v>-12689</v>
      </c>
      <c r="H14" s="8">
        <v>-11323</v>
      </c>
      <c r="I14" s="8">
        <v>-10058</v>
      </c>
      <c r="J14" s="8">
        <v>-6737</v>
      </c>
      <c r="K14" s="8">
        <v>-4589</v>
      </c>
    </row>
    <row r="15" spans="2:11">
      <c r="B15" s="11" t="s">
        <v>74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</row>
    <row r="16" spans="2:11">
      <c r="B16" s="11" t="s">
        <v>75</v>
      </c>
      <c r="C16" s="8">
        <v>-5839</v>
      </c>
      <c r="D16" s="8">
        <v>-8316</v>
      </c>
      <c r="E16" s="8">
        <v>-1985</v>
      </c>
      <c r="F16" s="8">
        <v>-2325</v>
      </c>
      <c r="G16" s="8">
        <v>-2461</v>
      </c>
      <c r="H16" s="8">
        <v>-2186</v>
      </c>
      <c r="I16" s="8">
        <v>-13972</v>
      </c>
      <c r="J16" s="8">
        <v>-116</v>
      </c>
      <c r="K16" s="8">
        <v>-795</v>
      </c>
    </row>
    <row r="17" spans="2:11">
      <c r="B17" s="11" t="s">
        <v>76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2:11">
      <c r="B18" s="11" t="s">
        <v>63</v>
      </c>
      <c r="C18" s="8">
        <v>4139</v>
      </c>
      <c r="D18" s="8">
        <v>29036</v>
      </c>
      <c r="E18" s="12">
        <v>-773</v>
      </c>
      <c r="F18" s="8">
        <v>-22242</v>
      </c>
      <c r="G18" s="8">
        <v>-9131</v>
      </c>
      <c r="H18" s="8">
        <v>1140</v>
      </c>
      <c r="I18" s="8">
        <v>-3054</v>
      </c>
      <c r="J18" s="8">
        <v>-2663</v>
      </c>
      <c r="K18" s="8">
        <v>-1066</v>
      </c>
    </row>
    <row r="19" spans="2:11">
      <c r="B19" s="11" t="s">
        <v>77</v>
      </c>
      <c r="C19" s="8">
        <v>4139</v>
      </c>
      <c r="D19" s="8">
        <v>29036</v>
      </c>
      <c r="E19" s="12">
        <v>-773</v>
      </c>
      <c r="F19" s="8">
        <v>-22242</v>
      </c>
      <c r="G19" s="8">
        <v>-9131</v>
      </c>
      <c r="H19" s="8">
        <v>1140</v>
      </c>
      <c r="I19" s="8">
        <v>-3054</v>
      </c>
      <c r="J19" s="8">
        <v>-2663</v>
      </c>
      <c r="K19" s="8">
        <v>-1066</v>
      </c>
    </row>
    <row r="20" spans="2:11">
      <c r="B20" s="11" t="s">
        <v>79</v>
      </c>
      <c r="C20" s="8"/>
      <c r="D20" s="8"/>
      <c r="E20" s="12"/>
      <c r="F20" s="8"/>
      <c r="G20" s="8"/>
      <c r="H20" s="8"/>
      <c r="I20" s="8"/>
      <c r="K20" s="8"/>
    </row>
    <row r="21" spans="2:11">
      <c r="B21" s="1" t="s">
        <v>64</v>
      </c>
      <c r="C21" s="8">
        <v>-49833</v>
      </c>
      <c r="D21" s="8">
        <v>-37601</v>
      </c>
      <c r="E21" s="8">
        <v>-58154</v>
      </c>
      <c r="F21" s="8">
        <v>-59611</v>
      </c>
      <c r="G21" s="8">
        <v>-24281</v>
      </c>
      <c r="H21" s="8">
        <v>-12369</v>
      </c>
      <c r="I21" s="8">
        <v>-27084</v>
      </c>
      <c r="J21" s="8">
        <v>-9516</v>
      </c>
      <c r="K21" s="8">
        <v>-6450</v>
      </c>
    </row>
    <row r="22" spans="2:11">
      <c r="B22" s="11" t="s">
        <v>65</v>
      </c>
      <c r="C22" s="8">
        <v>-8331</v>
      </c>
      <c r="D22" s="8">
        <v>11719</v>
      </c>
      <c r="E22" s="8">
        <v>6088</v>
      </c>
      <c r="F22" s="8">
        <v>1723</v>
      </c>
      <c r="G22" s="8">
        <v>-9950</v>
      </c>
      <c r="H22" s="8">
        <v>-7759</v>
      </c>
      <c r="I22" s="8">
        <v>9928</v>
      </c>
      <c r="J22" s="8">
        <v>-3716</v>
      </c>
      <c r="K22" s="8">
        <v>-3882</v>
      </c>
    </row>
    <row r="23" spans="2:11">
      <c r="B23" s="11" t="s">
        <v>66</v>
      </c>
      <c r="C23" s="8">
        <v>-7548</v>
      </c>
      <c r="D23" s="8">
        <v>3999</v>
      </c>
      <c r="E23" s="8">
        <v>203</v>
      </c>
      <c r="F23" s="8">
        <v>619</v>
      </c>
      <c r="G23" s="8">
        <v>-116</v>
      </c>
      <c r="H23" s="8">
        <v>73</v>
      </c>
    </row>
    <row r="24" spans="2:11">
      <c r="B24" s="11" t="s">
        <v>81</v>
      </c>
      <c r="C24" s="8">
        <v>-15879</v>
      </c>
      <c r="D24" s="8">
        <v>15718</v>
      </c>
      <c r="E24" s="8">
        <v>6291</v>
      </c>
      <c r="F24" s="8">
        <v>-1104</v>
      </c>
      <c r="G24" s="8">
        <v>-10066</v>
      </c>
      <c r="H24" s="8">
        <v>-7686</v>
      </c>
      <c r="I24" s="8">
        <v>9928</v>
      </c>
      <c r="J24" s="8">
        <v>-3716</v>
      </c>
      <c r="K24" s="8">
        <v>-3882</v>
      </c>
    </row>
    <row r="25" spans="2:11">
      <c r="B25" s="11" t="s">
        <v>83</v>
      </c>
      <c r="C25" s="8">
        <v>0</v>
      </c>
      <c r="D25" s="8">
        <v>-6000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</row>
    <row r="26" spans="2:11">
      <c r="B26" s="11" t="s">
        <v>67</v>
      </c>
      <c r="C26" s="8">
        <v>0</v>
      </c>
      <c r="D26" s="8">
        <v>-6000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</row>
    <row r="27" spans="2:11">
      <c r="B27" s="11" t="s">
        <v>84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</row>
    <row r="28" spans="2:11">
      <c r="B28" s="11" t="s">
        <v>85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6</v>
      </c>
      <c r="K28" s="8">
        <v>78</v>
      </c>
    </row>
    <row r="29" spans="2:11">
      <c r="B29" s="1" t="s">
        <v>87</v>
      </c>
      <c r="C29" s="8">
        <v>-15879</v>
      </c>
      <c r="D29" s="8">
        <v>9718</v>
      </c>
      <c r="E29" s="8">
        <v>6291</v>
      </c>
      <c r="F29" s="8">
        <v>-1104</v>
      </c>
      <c r="G29" s="8">
        <v>-10066</v>
      </c>
      <c r="H29" s="8">
        <v>-7686</v>
      </c>
      <c r="I29" s="8">
        <v>9928</v>
      </c>
      <c r="J29" s="8">
        <v>-3716</v>
      </c>
      <c r="K29" s="8">
        <v>-3882</v>
      </c>
    </row>
    <row r="30" spans="2:11">
      <c r="B30" s="1" t="s">
        <v>68</v>
      </c>
      <c r="C30" s="8">
        <v>19637</v>
      </c>
      <c r="D30" s="8">
        <v>17776</v>
      </c>
      <c r="E30" s="8">
        <v>-5900</v>
      </c>
      <c r="F30" s="8">
        <v>5967</v>
      </c>
      <c r="G30" s="8">
        <v>4237</v>
      </c>
      <c r="H30" s="8">
        <v>10317</v>
      </c>
      <c r="I30" s="8">
        <v>1922</v>
      </c>
      <c r="J30" s="8">
        <v>3759</v>
      </c>
      <c r="K30" s="8">
        <v>1333</v>
      </c>
    </row>
    <row r="31" spans="2:11">
      <c r="B31" s="1" t="s">
        <v>69</v>
      </c>
      <c r="C31" s="8">
        <v>24023</v>
      </c>
      <c r="D31" s="8">
        <v>19621</v>
      </c>
      <c r="E31" s="8">
        <v>12757</v>
      </c>
      <c r="F31" s="8">
        <v>9208</v>
      </c>
      <c r="G31" s="8">
        <v>6864</v>
      </c>
      <c r="H31" s="8">
        <v>5418</v>
      </c>
      <c r="I31" s="8">
        <v>4215</v>
      </c>
      <c r="J31" s="8">
        <v>2975</v>
      </c>
      <c r="K31" s="8">
        <v>2119</v>
      </c>
    </row>
    <row r="32" spans="2:11">
      <c r="B32" s="1" t="s">
        <v>70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9F49-818A-4503-B39F-7DE2F70A3485}">
  <dimension ref="B1:J25"/>
  <sheetViews>
    <sheetView showGridLines="0" zoomScale="60" zoomScaleNormal="60" workbookViewId="0">
      <selection activeCell="B23" sqref="B23"/>
    </sheetView>
  </sheetViews>
  <sheetFormatPr defaultRowHeight="14.5"/>
  <cols>
    <col min="1" max="1" width="3.08203125" style="1" customWidth="1"/>
    <col min="2" max="2" width="48.58203125" style="1" customWidth="1"/>
    <col min="3" max="10" width="12.4140625" style="1" customWidth="1"/>
    <col min="11" max="16384" width="8.6640625" style="1"/>
  </cols>
  <sheetData>
    <row r="1" spans="2:10">
      <c r="B1" s="12"/>
    </row>
    <row r="2" spans="2:10">
      <c r="B2" s="1" t="s">
        <v>4</v>
      </c>
    </row>
    <row r="3" spans="2:10">
      <c r="B3" s="9" t="s">
        <v>3</v>
      </c>
      <c r="C3" s="10">
        <v>44926</v>
      </c>
      <c r="D3" s="10">
        <v>44561</v>
      </c>
      <c r="E3" s="10">
        <v>44196</v>
      </c>
      <c r="F3" s="10">
        <v>43830</v>
      </c>
      <c r="G3" s="10">
        <v>43465</v>
      </c>
      <c r="H3" s="10">
        <v>43100</v>
      </c>
      <c r="I3" s="10">
        <v>42735</v>
      </c>
      <c r="J3" s="10">
        <v>42369</v>
      </c>
    </row>
    <row r="4" spans="2:10">
      <c r="B4" s="1" t="s">
        <v>12</v>
      </c>
      <c r="C4" s="12">
        <v>5615.6880000000001</v>
      </c>
      <c r="D4" s="12">
        <v>4954.8230000000003</v>
      </c>
      <c r="E4" s="12">
        <v>4542.9269999999997</v>
      </c>
      <c r="F4" s="12">
        <v>5183.808</v>
      </c>
      <c r="G4" s="12">
        <v>5393.7449999999999</v>
      </c>
      <c r="H4" s="12">
        <v>5692.53</v>
      </c>
      <c r="I4" s="12">
        <v>5237.2060000000001</v>
      </c>
      <c r="J4" s="12">
        <v>4924.9570000000003</v>
      </c>
    </row>
    <row r="5" spans="2:10">
      <c r="B5" s="1" t="s">
        <v>249</v>
      </c>
      <c r="C5" s="12">
        <v>4714.8599999999997</v>
      </c>
      <c r="D5" s="12">
        <v>4260.3429999999998</v>
      </c>
      <c r="E5" s="12">
        <v>3979.7730000000001</v>
      </c>
      <c r="F5" s="12">
        <v>4140.7520000000004</v>
      </c>
      <c r="G5" s="12">
        <v>4388.3599999999997</v>
      </c>
      <c r="H5" s="12">
        <v>4822.3119999999999</v>
      </c>
      <c r="I5" s="12">
        <v>4509.174</v>
      </c>
      <c r="J5" s="12">
        <v>4280.5919999999996</v>
      </c>
    </row>
    <row r="6" spans="2:10">
      <c r="B6" s="1" t="s">
        <v>5</v>
      </c>
      <c r="C6" s="12">
        <v>900.82799999999997</v>
      </c>
      <c r="D6" s="12">
        <v>694.48</v>
      </c>
      <c r="E6" s="12">
        <v>563.154</v>
      </c>
      <c r="F6" s="12">
        <v>1043.056</v>
      </c>
      <c r="G6" s="12">
        <v>1005.385</v>
      </c>
      <c r="H6" s="12">
        <v>870.21799999999996</v>
      </c>
      <c r="I6" s="12">
        <v>728.03200000000004</v>
      </c>
      <c r="J6" s="12">
        <v>644.36500000000001</v>
      </c>
    </row>
    <row r="7" spans="2:10">
      <c r="B7" s="11" t="s">
        <v>14</v>
      </c>
      <c r="C7" s="12">
        <v>111.682</v>
      </c>
      <c r="D7" s="12">
        <v>98.197000000000003</v>
      </c>
      <c r="E7" s="12">
        <v>69.680000000000007</v>
      </c>
      <c r="F7" s="12">
        <v>73.695999999999998</v>
      </c>
      <c r="G7" s="12">
        <v>71.686999999999998</v>
      </c>
      <c r="H7" s="12">
        <v>86.581000000000003</v>
      </c>
      <c r="I7" s="12">
        <v>78.679000000000002</v>
      </c>
      <c r="J7" s="12">
        <v>73.841999999999999</v>
      </c>
    </row>
    <row r="8" spans="2:10">
      <c r="B8" s="11" t="s">
        <v>251</v>
      </c>
      <c r="C8" s="12">
        <v>267.61399999999998</v>
      </c>
      <c r="D8" s="12">
        <v>255.55</v>
      </c>
      <c r="E8" s="12">
        <v>257.01799999999997</v>
      </c>
      <c r="F8" s="12">
        <v>227.696</v>
      </c>
      <c r="G8" s="12">
        <v>234.66499999999999</v>
      </c>
      <c r="H8" s="12">
        <v>202.32400000000001</v>
      </c>
      <c r="I8" s="12">
        <v>193.434</v>
      </c>
      <c r="J8" s="12">
        <v>177.553</v>
      </c>
    </row>
    <row r="9" spans="2:10">
      <c r="B9" s="11" t="s">
        <v>6</v>
      </c>
      <c r="C9" s="12">
        <v>14.75</v>
      </c>
      <c r="D9" s="12">
        <v>79.268000000000001</v>
      </c>
      <c r="E9" s="12">
        <v>63.969000000000001</v>
      </c>
      <c r="F9" s="12">
        <v>48.607999999999997</v>
      </c>
      <c r="G9" s="12">
        <v>33.421999999999997</v>
      </c>
      <c r="H9" s="12">
        <v>46.341999999999999</v>
      </c>
      <c r="I9" s="12">
        <v>45.149000000000001</v>
      </c>
      <c r="J9" s="12">
        <v>35.200000000000003</v>
      </c>
    </row>
    <row r="10" spans="2:10">
      <c r="B10" s="1" t="s">
        <v>295</v>
      </c>
      <c r="C10" s="12">
        <v>364.54500000000002</v>
      </c>
      <c r="D10" s="12">
        <v>274.48</v>
      </c>
      <c r="E10" s="12">
        <v>262.72899999999998</v>
      </c>
      <c r="F10" s="12">
        <v>252.78399999999999</v>
      </c>
      <c r="G10" s="12">
        <v>272.92899999999997</v>
      </c>
      <c r="H10" s="12">
        <v>242.56299999999999</v>
      </c>
      <c r="I10" s="12">
        <v>226.96299999999999</v>
      </c>
      <c r="J10" s="12">
        <v>216.19499999999999</v>
      </c>
    </row>
    <row r="11" spans="2:10">
      <c r="B11" s="1" t="s">
        <v>209</v>
      </c>
      <c r="C11" s="12">
        <v>536.83000000000004</v>
      </c>
      <c r="D11" s="8">
        <v>420</v>
      </c>
      <c r="E11" s="12">
        <v>300.42500000000001</v>
      </c>
      <c r="F11" s="12">
        <v>790.27300000000002</v>
      </c>
      <c r="G11" s="12">
        <v>732.45699999999999</v>
      </c>
      <c r="H11" s="12">
        <v>627.65499999999997</v>
      </c>
      <c r="I11" s="12">
        <v>501.06900000000002</v>
      </c>
      <c r="J11" s="12">
        <v>428.17</v>
      </c>
    </row>
    <row r="12" spans="2:10">
      <c r="B12" s="1" t="s">
        <v>301</v>
      </c>
      <c r="C12" s="12">
        <v>-47.411999999999999</v>
      </c>
      <c r="D12" s="12">
        <v>-46.140999999999998</v>
      </c>
      <c r="E12" s="12">
        <v>-76.534000000000006</v>
      </c>
      <c r="F12" s="12">
        <v>-43.68</v>
      </c>
      <c r="G12" s="12">
        <v>-14.407999999999999</v>
      </c>
      <c r="H12" s="12">
        <v>-45.212000000000003</v>
      </c>
      <c r="I12" s="12">
        <v>-41.165999999999997</v>
      </c>
      <c r="J12" s="12">
        <v>-71.953999999999994</v>
      </c>
    </row>
    <row r="13" spans="2:10">
      <c r="B13" s="1" t="s">
        <v>7</v>
      </c>
      <c r="C13" s="12">
        <v>487.81700000000001</v>
      </c>
      <c r="D13" s="12">
        <v>372.67700000000002</v>
      </c>
      <c r="E13" s="12">
        <v>222.749</v>
      </c>
      <c r="F13" s="12">
        <v>746.59199999999998</v>
      </c>
      <c r="G13" s="12">
        <v>717.221</v>
      </c>
      <c r="H13" s="12">
        <v>582.44399999999996</v>
      </c>
      <c r="I13" s="12">
        <v>459.90300000000002</v>
      </c>
      <c r="J13" s="12">
        <v>356.21600000000001</v>
      </c>
    </row>
    <row r="14" spans="2:10">
      <c r="B14" s="1" t="s">
        <v>182</v>
      </c>
      <c r="C14" s="12">
        <v>136.96799999999999</v>
      </c>
      <c r="D14" s="12">
        <v>99.38</v>
      </c>
      <c r="E14" s="12">
        <v>54.83</v>
      </c>
      <c r="F14" s="12">
        <v>199.584</v>
      </c>
      <c r="G14" s="12">
        <v>181.874</v>
      </c>
      <c r="H14" s="12">
        <v>150.89500000000001</v>
      </c>
      <c r="I14" s="12">
        <v>113.98</v>
      </c>
      <c r="J14" s="12">
        <v>114.593</v>
      </c>
    </row>
    <row r="15" spans="2:10">
      <c r="B15" s="1" t="s">
        <v>183</v>
      </c>
      <c r="C15" s="12">
        <v>350.84899999999999</v>
      </c>
      <c r="D15" s="12">
        <v>273.29599999999999</v>
      </c>
      <c r="E15" s="12">
        <v>167.91800000000001</v>
      </c>
      <c r="F15" s="12">
        <v>547.00800000000004</v>
      </c>
      <c r="G15" s="12">
        <v>535.34699999999998</v>
      </c>
      <c r="H15" s="12">
        <v>431.54899999999998</v>
      </c>
      <c r="I15" s="12">
        <v>345.923</v>
      </c>
      <c r="J15" s="12">
        <v>241.62299999999999</v>
      </c>
    </row>
    <row r="16" spans="2:10">
      <c r="B16" s="1" t="s">
        <v>26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</row>
    <row r="17" spans="2:10">
      <c r="B17" s="1" t="s">
        <v>184</v>
      </c>
      <c r="C17" s="12">
        <v>350.84899999999999</v>
      </c>
      <c r="D17" s="12">
        <v>273.29599999999999</v>
      </c>
      <c r="E17" s="12">
        <v>167.91800000000001</v>
      </c>
      <c r="F17" s="12">
        <v>547.00800000000004</v>
      </c>
      <c r="G17" s="12">
        <v>535.34699999999998</v>
      </c>
      <c r="H17" s="12">
        <v>431.54899999999998</v>
      </c>
      <c r="I17" s="12">
        <v>345.923</v>
      </c>
      <c r="J17" s="12">
        <v>241.62299999999999</v>
      </c>
    </row>
    <row r="18" spans="2:10">
      <c r="B18" s="1" t="s">
        <v>18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</row>
    <row r="19" spans="2:10">
      <c r="B19" s="1" t="s">
        <v>10</v>
      </c>
      <c r="C19" s="12">
        <v>348.74200000000002</v>
      </c>
      <c r="D19" s="12">
        <v>262.64800000000002</v>
      </c>
      <c r="E19" s="12">
        <v>158.78</v>
      </c>
      <c r="F19" s="12">
        <v>535.47199999999998</v>
      </c>
      <c r="G19" s="12">
        <v>527.90700000000004</v>
      </c>
      <c r="H19" s="12">
        <v>427.48</v>
      </c>
      <c r="I19" s="12">
        <v>345.48099999999999</v>
      </c>
      <c r="J19" s="12">
        <v>241.62299999999999</v>
      </c>
    </row>
    <row r="20" spans="2:10">
      <c r="B20" s="1" t="s">
        <v>20</v>
      </c>
      <c r="C20" s="12">
        <v>911.36400000000003</v>
      </c>
      <c r="D20" s="12">
        <v>842.36699999999996</v>
      </c>
      <c r="E20" s="12">
        <v>702.51400000000001</v>
      </c>
      <c r="F20" s="12">
        <v>1080.912</v>
      </c>
      <c r="G20" s="12">
        <v>969.24699999999996</v>
      </c>
      <c r="H20" s="12">
        <v>849.42</v>
      </c>
      <c r="I20" s="12">
        <v>695.05600000000004</v>
      </c>
      <c r="J20" s="12">
        <v>609.38800000000003</v>
      </c>
    </row>
    <row r="21" spans="2:10">
      <c r="B21" s="1" t="s">
        <v>24</v>
      </c>
      <c r="C21" s="12">
        <v>536.28300000000002</v>
      </c>
      <c r="D21" s="8">
        <v>420</v>
      </c>
      <c r="E21" s="12">
        <v>300.42500000000001</v>
      </c>
      <c r="F21" s="12">
        <v>790.27300000000002</v>
      </c>
      <c r="G21" s="12">
        <v>732.45699999999999</v>
      </c>
      <c r="H21" s="12">
        <v>627.65499999999997</v>
      </c>
      <c r="I21" s="12">
        <v>501.06900000000002</v>
      </c>
      <c r="J21" s="12">
        <v>428.17</v>
      </c>
    </row>
    <row r="22" spans="2:10">
      <c r="B22" s="1" t="s">
        <v>22</v>
      </c>
      <c r="C22" s="1">
        <v>107</v>
      </c>
      <c r="D22" s="1">
        <v>106</v>
      </c>
      <c r="E22" s="1">
        <v>106</v>
      </c>
      <c r="F22" s="1">
        <v>104</v>
      </c>
      <c r="G22" s="1">
        <v>103</v>
      </c>
      <c r="H22" s="1">
        <v>103</v>
      </c>
      <c r="I22" s="1">
        <v>103</v>
      </c>
      <c r="J22" s="1">
        <v>102</v>
      </c>
    </row>
    <row r="23" spans="2:10">
      <c r="B23" s="1" t="s">
        <v>27</v>
      </c>
      <c r="C23" s="1">
        <v>110</v>
      </c>
      <c r="D23" s="1">
        <v>109</v>
      </c>
      <c r="E23" s="1">
        <v>102</v>
      </c>
      <c r="F23" s="1">
        <v>104</v>
      </c>
      <c r="G23" s="1">
        <v>103</v>
      </c>
      <c r="H23" s="1">
        <v>103</v>
      </c>
      <c r="I23" s="1">
        <v>103</v>
      </c>
      <c r="J23" s="1">
        <v>102</v>
      </c>
    </row>
    <row r="24" spans="2:10">
      <c r="B24" s="1" t="s">
        <v>11</v>
      </c>
      <c r="C24" s="12">
        <v>3.27</v>
      </c>
      <c r="D24" s="12">
        <v>2.4700000000000002</v>
      </c>
      <c r="E24" s="12">
        <v>1.5</v>
      </c>
      <c r="F24" s="12">
        <v>5.17</v>
      </c>
      <c r="G24" s="12">
        <v>5.12</v>
      </c>
      <c r="H24" s="12">
        <v>4.1500000000000004</v>
      </c>
      <c r="I24" s="12">
        <v>3.37</v>
      </c>
      <c r="J24" s="12">
        <v>2.37</v>
      </c>
    </row>
    <row r="25" spans="2:10">
      <c r="B25" s="1" t="s">
        <v>30</v>
      </c>
      <c r="C25" s="12">
        <v>3.19</v>
      </c>
      <c r="D25" s="12">
        <v>2.42</v>
      </c>
      <c r="E25" s="12">
        <v>1.48</v>
      </c>
      <c r="F25" s="12">
        <v>4.74</v>
      </c>
      <c r="G25" s="12">
        <v>4.78</v>
      </c>
      <c r="H25" s="12">
        <v>3.89</v>
      </c>
      <c r="I25" s="12">
        <v>3.23</v>
      </c>
      <c r="J25" s="12">
        <v>2.37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CD06-BC8F-40E9-A30E-F15759739078}">
  <dimension ref="B1:J26"/>
  <sheetViews>
    <sheetView showGridLines="0" zoomScale="60" zoomScaleNormal="60" workbookViewId="0">
      <selection activeCell="B25" sqref="B25"/>
    </sheetView>
  </sheetViews>
  <sheetFormatPr defaultRowHeight="14.5"/>
  <cols>
    <col min="1" max="1" width="3.08203125" style="1" customWidth="1"/>
    <col min="2" max="2" width="48.58203125" style="1" customWidth="1"/>
    <col min="3" max="10" width="12.58203125" style="1" customWidth="1"/>
    <col min="11" max="17" width="10.9140625" style="1" bestFit="1" customWidth="1"/>
    <col min="18" max="16384" width="8.6640625" style="1"/>
  </cols>
  <sheetData>
    <row r="1" spans="2:10">
      <c r="B1" s="12"/>
    </row>
    <row r="2" spans="2:10">
      <c r="B2" s="12" t="s">
        <v>4</v>
      </c>
    </row>
    <row r="3" spans="2:10">
      <c r="B3" s="17" t="s">
        <v>3</v>
      </c>
      <c r="C3" s="10">
        <v>44926</v>
      </c>
      <c r="D3" s="10">
        <v>44561</v>
      </c>
      <c r="E3" s="10">
        <v>44196</v>
      </c>
      <c r="F3" s="10">
        <v>43830</v>
      </c>
      <c r="G3" s="10">
        <v>43465</v>
      </c>
      <c r="H3" s="10">
        <v>43100</v>
      </c>
      <c r="I3" s="10">
        <v>42735</v>
      </c>
      <c r="J3" s="10">
        <v>42369</v>
      </c>
    </row>
    <row r="4" spans="2:10">
      <c r="B4" s="18" t="s">
        <v>36</v>
      </c>
      <c r="C4" s="12">
        <v>1299.0889999999999</v>
      </c>
      <c r="D4" s="12">
        <v>1063.607</v>
      </c>
      <c r="E4" s="12">
        <v>998.37</v>
      </c>
      <c r="F4" s="12">
        <v>225.56800000000001</v>
      </c>
      <c r="G4" s="12">
        <v>164.86799999999999</v>
      </c>
      <c r="H4" s="12">
        <v>247.875</v>
      </c>
      <c r="I4" s="12">
        <v>404.24099999999999</v>
      </c>
      <c r="J4" s="12">
        <v>119.812</v>
      </c>
    </row>
    <row r="5" spans="2:10">
      <c r="B5" s="15" t="s">
        <v>230</v>
      </c>
      <c r="C5" s="12">
        <v>1205.318</v>
      </c>
      <c r="D5" s="12">
        <v>1224.509</v>
      </c>
      <c r="E5" s="12">
        <v>1154.865</v>
      </c>
      <c r="F5" s="12">
        <v>1163.232</v>
      </c>
      <c r="G5" s="12">
        <v>1292.4860000000001</v>
      </c>
      <c r="H5" s="12">
        <v>868.29700000000003</v>
      </c>
      <c r="I5" s="12">
        <v>789.22699999999998</v>
      </c>
      <c r="J5" s="12">
        <v>786.71799999999996</v>
      </c>
    </row>
    <row r="6" spans="2:10">
      <c r="B6" s="15" t="s">
        <v>48</v>
      </c>
      <c r="C6" s="12">
        <v>1595.15</v>
      </c>
      <c r="D6" s="12">
        <v>1632.6780000000001</v>
      </c>
      <c r="E6" s="12">
        <v>1459.8589999999999</v>
      </c>
      <c r="F6" s="12">
        <v>1432.0319999999999</v>
      </c>
      <c r="G6" s="12">
        <v>1176.04</v>
      </c>
      <c r="H6" s="12">
        <v>1127.9259999999999</v>
      </c>
      <c r="I6" s="12">
        <v>1131.72</v>
      </c>
      <c r="J6" s="12">
        <v>992.69799999999998</v>
      </c>
    </row>
    <row r="7" spans="2:10">
      <c r="B7" s="15" t="s">
        <v>185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11.77</v>
      </c>
    </row>
    <row r="8" spans="2:10">
      <c r="B8" s="15" t="s">
        <v>186</v>
      </c>
      <c r="C8" s="12">
        <v>59.002000000000002</v>
      </c>
      <c r="D8" s="12">
        <v>59.155000000000001</v>
      </c>
      <c r="E8" s="12">
        <v>45.692</v>
      </c>
      <c r="F8" s="12">
        <v>50.624000000000002</v>
      </c>
      <c r="G8" s="12">
        <v>48.185000000000002</v>
      </c>
      <c r="H8" s="12">
        <v>45.664000000000001</v>
      </c>
      <c r="I8" s="12">
        <v>48.469000000000001</v>
      </c>
      <c r="J8" s="12">
        <v>23.984999999999999</v>
      </c>
    </row>
    <row r="9" spans="2:10">
      <c r="B9" s="1" t="s">
        <v>285</v>
      </c>
      <c r="C9" s="12">
        <v>5357.5559999999996</v>
      </c>
      <c r="D9" s="12">
        <v>5040.0060000000003</v>
      </c>
      <c r="E9" s="12">
        <v>4653.7299999999996</v>
      </c>
      <c r="F9" s="12">
        <v>4043.5360000000001</v>
      </c>
      <c r="G9" s="12">
        <v>3702.317</v>
      </c>
      <c r="H9" s="12">
        <v>2802.9180000000001</v>
      </c>
      <c r="I9" s="12">
        <v>2808.7719999999999</v>
      </c>
      <c r="J9" s="12">
        <v>2269.547</v>
      </c>
    </row>
    <row r="10" spans="2:10">
      <c r="B10" s="15" t="s">
        <v>253</v>
      </c>
      <c r="C10" s="12">
        <v>1458.182</v>
      </c>
      <c r="D10" s="12">
        <v>1480.058</v>
      </c>
      <c r="E10" s="12">
        <v>1326.21</v>
      </c>
      <c r="F10" s="12">
        <v>1232.896</v>
      </c>
      <c r="G10" s="12">
        <v>943.97299999999996</v>
      </c>
      <c r="H10" s="12">
        <v>862.87099999999998</v>
      </c>
      <c r="I10" s="12">
        <v>754.14800000000002</v>
      </c>
      <c r="J10" s="12">
        <v>701.77300000000002</v>
      </c>
    </row>
    <row r="11" spans="2:10">
      <c r="B11" s="15" t="s">
        <v>187</v>
      </c>
      <c r="C11" s="12">
        <v>767.02099999999996</v>
      </c>
      <c r="D11" s="12">
        <v>808.05700000000002</v>
      </c>
      <c r="E11" s="12">
        <v>791.61400000000003</v>
      </c>
      <c r="F11" s="12">
        <v>689.13599999999997</v>
      </c>
      <c r="G11" s="12">
        <v>627.46500000000003</v>
      </c>
      <c r="H11" s="12">
        <v>519.14700000000005</v>
      </c>
      <c r="I11" s="12">
        <v>367.50200000000001</v>
      </c>
      <c r="J11" s="8">
        <v>281153</v>
      </c>
    </row>
    <row r="12" spans="2:10">
      <c r="B12" s="15" t="s">
        <v>37</v>
      </c>
      <c r="C12" s="12">
        <v>1212.694</v>
      </c>
      <c r="D12" s="12">
        <v>1334.537</v>
      </c>
      <c r="E12" s="12">
        <v>1296.51</v>
      </c>
      <c r="F12" s="8">
        <v>1302</v>
      </c>
      <c r="G12" s="12">
        <v>1266.8589999999999</v>
      </c>
      <c r="H12" s="12">
        <v>2588.5</v>
      </c>
      <c r="I12" s="12">
        <v>2472.366</v>
      </c>
      <c r="J12" s="12">
        <v>2458.4259999999999</v>
      </c>
    </row>
    <row r="13" spans="2:10">
      <c r="B13" s="15" t="s">
        <v>38</v>
      </c>
      <c r="C13" s="12">
        <v>842.88</v>
      </c>
      <c r="D13" s="12">
        <v>0</v>
      </c>
      <c r="E13" s="12">
        <v>1111.4580000000001</v>
      </c>
      <c r="F13" s="12">
        <v>0</v>
      </c>
      <c r="G13" s="12">
        <v>0</v>
      </c>
      <c r="H13" s="12">
        <v>1.9219999999999999</v>
      </c>
      <c r="I13" s="12">
        <v>2.2130000000000001</v>
      </c>
      <c r="J13" s="12">
        <v>0</v>
      </c>
    </row>
    <row r="14" spans="2:10">
      <c r="B14" s="11" t="s">
        <v>39</v>
      </c>
      <c r="C14" s="12">
        <v>4369.2790000000005</v>
      </c>
      <c r="D14" s="12">
        <v>4783.2730000000001</v>
      </c>
      <c r="E14" s="12">
        <v>4602.3270000000002</v>
      </c>
      <c r="F14" s="12">
        <v>4653.6000000000004</v>
      </c>
      <c r="G14" s="12">
        <v>4388.4780000000001</v>
      </c>
      <c r="H14" s="8">
        <v>4034832</v>
      </c>
      <c r="I14" s="12">
        <v>3658.8620000000001</v>
      </c>
      <c r="J14" s="12">
        <v>3491.5419999999999</v>
      </c>
    </row>
    <row r="15" spans="2:10">
      <c r="B15" s="1" t="s">
        <v>32</v>
      </c>
      <c r="C15" s="12">
        <v>9724.7279999999992</v>
      </c>
      <c r="D15" s="12">
        <v>9824.4619999999995</v>
      </c>
      <c r="E15" s="12">
        <v>9257.1990000000005</v>
      </c>
      <c r="F15" s="12">
        <v>8697.1360000000004</v>
      </c>
      <c r="G15" s="12">
        <v>8090.7950000000001</v>
      </c>
      <c r="H15" s="12">
        <v>6837.75</v>
      </c>
      <c r="I15" s="12">
        <v>6467.634</v>
      </c>
      <c r="J15" s="12">
        <v>5761.0879999999997</v>
      </c>
    </row>
    <row r="16" spans="2:10">
      <c r="B16" s="11" t="s">
        <v>231</v>
      </c>
      <c r="C16" s="12">
        <v>3982.6080000000002</v>
      </c>
      <c r="D16" s="12">
        <v>3690.0889999999999</v>
      </c>
      <c r="E16" s="12">
        <v>3390.346</v>
      </c>
      <c r="F16" s="12">
        <v>3599.5680000000002</v>
      </c>
      <c r="G16" s="12">
        <v>3311.8780000000002</v>
      </c>
      <c r="H16" s="12">
        <v>2411.6080000000002</v>
      </c>
      <c r="I16" s="12">
        <v>2633.9290000000001</v>
      </c>
      <c r="J16" s="12">
        <v>2390.136</v>
      </c>
    </row>
    <row r="17" spans="2:10">
      <c r="B17" s="15" t="s">
        <v>40</v>
      </c>
      <c r="C17" s="12">
        <v>1696.296</v>
      </c>
      <c r="D17" s="12">
        <v>1700.115</v>
      </c>
      <c r="E17" s="12">
        <v>1638.058</v>
      </c>
      <c r="F17" s="12">
        <v>1209.4880000000001</v>
      </c>
      <c r="G17" s="12">
        <v>1104.2349999999999</v>
      </c>
      <c r="H17" s="12">
        <v>1058.6389999999999</v>
      </c>
      <c r="I17" s="12">
        <v>1169.0119999999999</v>
      </c>
      <c r="J17" s="12">
        <v>1010.686</v>
      </c>
    </row>
    <row r="18" spans="2:10">
      <c r="B18" s="15" t="s">
        <v>188</v>
      </c>
      <c r="C18" s="12">
        <v>75.858999999999995</v>
      </c>
      <c r="D18" s="12">
        <v>93.465000000000003</v>
      </c>
      <c r="E18" s="12">
        <v>94.811000000000007</v>
      </c>
      <c r="F18" s="12">
        <v>107.29600000000001</v>
      </c>
      <c r="G18" s="12">
        <v>124.83199999999999</v>
      </c>
      <c r="H18" s="12">
        <v>61.600999999999999</v>
      </c>
      <c r="I18" s="12">
        <v>25.893999999999998</v>
      </c>
      <c r="J18" s="12">
        <v>27.538</v>
      </c>
    </row>
    <row r="19" spans="2:10">
      <c r="B19" s="11" t="s">
        <v>41</v>
      </c>
      <c r="C19" s="12">
        <v>2468.585</v>
      </c>
      <c r="D19" s="12">
        <v>2867.8339999999998</v>
      </c>
      <c r="E19" s="12">
        <v>2856.8919999999998</v>
      </c>
      <c r="F19" s="12">
        <v>2385.8240000000001</v>
      </c>
      <c r="G19" s="12">
        <v>2246.616</v>
      </c>
      <c r="H19" s="12">
        <v>2177.0709999999999</v>
      </c>
      <c r="I19" s="12">
        <v>2173.252</v>
      </c>
      <c r="J19" s="12">
        <v>1926.7660000000001</v>
      </c>
    </row>
    <row r="20" spans="2:10">
      <c r="B20" s="1" t="s">
        <v>34</v>
      </c>
      <c r="C20" s="12">
        <v>6451.1930000000002</v>
      </c>
      <c r="D20" s="12">
        <v>6559.1059999999998</v>
      </c>
      <c r="E20" s="12">
        <v>6247.2389999999996</v>
      </c>
      <c r="F20" s="12">
        <v>5985.3919999999998</v>
      </c>
      <c r="G20" s="12">
        <v>5558.4949999999999</v>
      </c>
      <c r="H20" s="12">
        <v>4588.6790000000001</v>
      </c>
      <c r="I20" s="12">
        <v>4807.1809999999996</v>
      </c>
      <c r="J20" s="12">
        <v>4316.902</v>
      </c>
    </row>
    <row r="21" spans="2:10">
      <c r="B21" s="15" t="s">
        <v>42</v>
      </c>
      <c r="C21" s="12">
        <v>55.841000000000001</v>
      </c>
      <c r="D21" s="12">
        <v>62.704000000000001</v>
      </c>
      <c r="E21" s="12">
        <v>60.542000000000002</v>
      </c>
      <c r="F21" s="12">
        <v>59.472000000000001</v>
      </c>
      <c r="G21" s="12">
        <v>61.411999999999999</v>
      </c>
      <c r="H21" s="12">
        <v>58.776000000000003</v>
      </c>
      <c r="I21" s="12">
        <v>57.542999999999999</v>
      </c>
      <c r="J21" s="12">
        <v>57.741</v>
      </c>
    </row>
    <row r="22" spans="2:10">
      <c r="B22" s="15" t="s">
        <v>43</v>
      </c>
      <c r="C22" s="12">
        <v>2823.6480000000001</v>
      </c>
      <c r="D22" s="12">
        <v>0</v>
      </c>
      <c r="E22" s="12">
        <v>2625.0050000000001</v>
      </c>
      <c r="F22" s="12">
        <v>2419.6480000000001</v>
      </c>
      <c r="G22" s="12">
        <v>2160.049</v>
      </c>
      <c r="H22" s="12">
        <v>1866.69</v>
      </c>
      <c r="I22" s="12">
        <v>1517.038</v>
      </c>
      <c r="J22" s="12">
        <v>1272.0740000000001</v>
      </c>
    </row>
    <row r="23" spans="2:10">
      <c r="B23" s="15" t="s">
        <v>189</v>
      </c>
      <c r="C23" s="12">
        <v>-227.578</v>
      </c>
      <c r="D23" s="12">
        <v>408.17</v>
      </c>
      <c r="E23" s="12">
        <v>-347.25900000000001</v>
      </c>
      <c r="F23" s="12">
        <v>-366.24</v>
      </c>
      <c r="G23" s="12">
        <v>-306.70600000000002</v>
      </c>
      <c r="H23" s="12">
        <v>-201.30600000000001</v>
      </c>
      <c r="I23" s="12">
        <v>-368.27699999999999</v>
      </c>
      <c r="J23" s="12">
        <v>-301.363</v>
      </c>
    </row>
    <row r="24" spans="2:10">
      <c r="B24" s="15" t="s">
        <v>46</v>
      </c>
      <c r="C24" s="12">
        <v>559.46199999999999</v>
      </c>
      <c r="D24" s="12">
        <v>625.86</v>
      </c>
      <c r="E24" s="12">
        <v>580.28800000000001</v>
      </c>
      <c r="F24" s="12">
        <v>515.64800000000002</v>
      </c>
      <c r="G24" s="12">
        <v>550.11</v>
      </c>
      <c r="H24" s="12">
        <v>509.99099999999999</v>
      </c>
      <c r="I24" s="12">
        <v>481.92399999999998</v>
      </c>
      <c r="J24" s="12">
        <v>449.37900000000002</v>
      </c>
    </row>
    <row r="25" spans="2:10">
      <c r="B25" s="1" t="s">
        <v>127</v>
      </c>
      <c r="C25" s="12">
        <v>3273.5349999999999</v>
      </c>
      <c r="D25" s="12">
        <v>3265.3560000000002</v>
      </c>
      <c r="E25" s="12">
        <v>3009.96</v>
      </c>
      <c r="F25" s="12">
        <v>2711.7440000000001</v>
      </c>
      <c r="G25" s="12">
        <v>2532.3000000000002</v>
      </c>
      <c r="H25" s="12">
        <v>2249.0709999999999</v>
      </c>
      <c r="I25" s="12">
        <v>1660.453</v>
      </c>
      <c r="J25" s="12">
        <v>1444.1859999999999</v>
      </c>
    </row>
    <row r="26" spans="2:10">
      <c r="B26" s="1" t="s">
        <v>190</v>
      </c>
      <c r="C26" s="12">
        <v>9724.7279999999992</v>
      </c>
      <c r="D26" s="12">
        <v>9824.4619999999995</v>
      </c>
      <c r="E26" s="12">
        <v>9257.1990000000005</v>
      </c>
      <c r="F26" s="12">
        <v>8697.1360000000004</v>
      </c>
      <c r="G26" s="12">
        <v>8090.7950000000001</v>
      </c>
      <c r="H26" s="12">
        <v>6837.75</v>
      </c>
      <c r="I26" s="12">
        <v>6467.634</v>
      </c>
      <c r="J26" s="12">
        <v>5761.0879999999997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6F25-4873-4F1B-B31C-42D7FADAF727}">
  <dimension ref="B2:J32"/>
  <sheetViews>
    <sheetView showGridLines="0" zoomScale="60" zoomScaleNormal="60" workbookViewId="0">
      <selection activeCell="B14" sqref="B14"/>
    </sheetView>
  </sheetViews>
  <sheetFormatPr defaultRowHeight="14.5"/>
  <cols>
    <col min="1" max="1" width="3.08203125" style="1" customWidth="1"/>
    <col min="2" max="2" width="48.6640625" style="1" customWidth="1"/>
    <col min="3" max="10" width="12.58203125" style="1" customWidth="1"/>
    <col min="11" max="14" width="10.9140625" style="1" bestFit="1" customWidth="1"/>
    <col min="15" max="16384" width="8.6640625" style="1"/>
  </cols>
  <sheetData>
    <row r="2" spans="2:10">
      <c r="B2" s="1" t="s">
        <v>71</v>
      </c>
    </row>
    <row r="3" spans="2:10">
      <c r="B3" s="17" t="s">
        <v>3</v>
      </c>
      <c r="C3" s="10">
        <v>44926</v>
      </c>
      <c r="D3" s="10">
        <v>44561</v>
      </c>
      <c r="E3" s="10">
        <v>44196</v>
      </c>
      <c r="F3" s="10">
        <v>43830</v>
      </c>
      <c r="G3" s="10">
        <v>43465</v>
      </c>
      <c r="H3" s="10">
        <v>43100</v>
      </c>
      <c r="I3" s="10">
        <v>42735</v>
      </c>
      <c r="J3" s="10">
        <v>42369</v>
      </c>
    </row>
    <row r="4" spans="2:10">
      <c r="B4" s="19" t="s">
        <v>54</v>
      </c>
      <c r="C4" s="12">
        <v>350.84899999999999</v>
      </c>
      <c r="D4" s="12">
        <v>273.29599999999999</v>
      </c>
      <c r="E4" s="8">
        <v>167.91800000000001</v>
      </c>
      <c r="F4" s="12">
        <v>547.00800000000004</v>
      </c>
      <c r="G4" s="12">
        <v>535.34699999999998</v>
      </c>
      <c r="H4" s="12">
        <v>431.54899999999998</v>
      </c>
      <c r="I4" s="12">
        <v>345.93299999999999</v>
      </c>
      <c r="J4" s="12">
        <v>241.63300000000001</v>
      </c>
    </row>
    <row r="5" spans="2:10">
      <c r="B5" s="19" t="s">
        <v>208</v>
      </c>
      <c r="C5" s="12">
        <v>375.08199999999999</v>
      </c>
      <c r="D5" s="12">
        <v>422.36700000000002</v>
      </c>
      <c r="E5" s="12">
        <v>402.09</v>
      </c>
      <c r="F5" s="12">
        <v>290.64</v>
      </c>
      <c r="G5" s="12">
        <v>236.791</v>
      </c>
      <c r="H5" s="12">
        <v>221.76499999999999</v>
      </c>
      <c r="I5" s="12">
        <v>193.98699999999999</v>
      </c>
      <c r="J5" s="12">
        <v>181.21700000000001</v>
      </c>
    </row>
    <row r="6" spans="2:10">
      <c r="B6" s="11" t="s">
        <v>55</v>
      </c>
      <c r="C6" s="12">
        <v>296.06200000000001</v>
      </c>
      <c r="D6" s="12">
        <v>-55.606000000000002</v>
      </c>
      <c r="E6" s="12">
        <v>-130.22219999999999</v>
      </c>
      <c r="F6" s="12">
        <v>205.85599999999999</v>
      </c>
      <c r="G6" s="12">
        <v>288.16399999999999</v>
      </c>
      <c r="H6" s="12">
        <v>141.51400000000001</v>
      </c>
      <c r="I6" s="12">
        <v>226.63200000000001</v>
      </c>
      <c r="J6" s="12">
        <v>225.63300000000001</v>
      </c>
    </row>
    <row r="7" spans="2:10">
      <c r="B7" s="11" t="s">
        <v>196</v>
      </c>
      <c r="C7" s="12">
        <v>671.14300000000003</v>
      </c>
      <c r="D7" s="12">
        <v>366.76100000000002</v>
      </c>
      <c r="E7" s="12">
        <v>271.86700000000002</v>
      </c>
      <c r="F7" s="12">
        <v>496.49599999999998</v>
      </c>
      <c r="G7" s="12">
        <v>524.95500000000004</v>
      </c>
      <c r="H7" s="12">
        <v>363.27800000000002</v>
      </c>
      <c r="I7" s="12">
        <v>420.61900000000003</v>
      </c>
      <c r="J7" s="12">
        <v>406.851</v>
      </c>
    </row>
    <row r="8" spans="2:10">
      <c r="B8" s="11" t="s">
        <v>197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</row>
    <row r="9" spans="2:10">
      <c r="B9" s="11" t="s">
        <v>198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</row>
    <row r="10" spans="2:10">
      <c r="B10" s="11" t="s">
        <v>199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</row>
    <row r="11" spans="2:10">
      <c r="B11" s="11" t="s">
        <v>200</v>
      </c>
      <c r="C11" s="12">
        <v>-308.70499999999998</v>
      </c>
      <c r="D11" s="12">
        <v>59.155000000000001</v>
      </c>
      <c r="E11" s="12">
        <v>-28.558</v>
      </c>
      <c r="F11" s="12">
        <v>-158.928</v>
      </c>
      <c r="G11" s="12">
        <v>-378.322</v>
      </c>
      <c r="H11" s="12">
        <v>-233.06800000000001</v>
      </c>
      <c r="I11" s="12">
        <v>-322.685</v>
      </c>
      <c r="J11" s="12">
        <v>-283.12200000000001</v>
      </c>
    </row>
    <row r="12" spans="2:10">
      <c r="B12" s="11" t="s">
        <v>191</v>
      </c>
      <c r="C12" s="12">
        <v>-251.81</v>
      </c>
      <c r="D12" s="12">
        <v>31.943999999999999</v>
      </c>
      <c r="E12" s="12">
        <v>2.2850000000000001</v>
      </c>
      <c r="F12" s="12">
        <v>-112</v>
      </c>
      <c r="G12" s="12">
        <v>-357.96100000000001</v>
      </c>
      <c r="H12" s="12">
        <v>-249.45699999999999</v>
      </c>
      <c r="I12" s="12">
        <v>-370.37900000000002</v>
      </c>
      <c r="J12" s="12">
        <v>-319.53300000000002</v>
      </c>
    </row>
    <row r="13" spans="2:10">
      <c r="B13" s="1" t="s">
        <v>62</v>
      </c>
      <c r="C13" s="12">
        <v>767.02099999999996</v>
      </c>
      <c r="D13" s="12">
        <v>670.81799999999998</v>
      </c>
      <c r="E13" s="12">
        <v>440.928</v>
      </c>
      <c r="F13" s="12">
        <v>931.50400000000002</v>
      </c>
      <c r="G13" s="12">
        <v>702.34100000000001</v>
      </c>
      <c r="H13" s="12">
        <v>545.37</v>
      </c>
      <c r="I13" s="12">
        <v>396.16300000000001</v>
      </c>
      <c r="J13" s="12">
        <v>328.90100000000001</v>
      </c>
    </row>
    <row r="14" spans="2:10">
      <c r="B14" s="11" t="s">
        <v>296</v>
      </c>
      <c r="C14" s="12">
        <v>-339.22590000000002</v>
      </c>
      <c r="D14" s="12">
        <v>-309.92200000000003</v>
      </c>
      <c r="E14" s="12">
        <v>-222.749</v>
      </c>
      <c r="F14" s="12">
        <v>-337.904</v>
      </c>
      <c r="G14" s="12">
        <v>-235.333</v>
      </c>
      <c r="H14" s="12">
        <v>-220.86099999999999</v>
      </c>
      <c r="I14" s="12">
        <v>-176.392</v>
      </c>
      <c r="J14" s="12">
        <v>-144.24100000000001</v>
      </c>
    </row>
    <row r="15" spans="2:10">
      <c r="B15" s="11" t="s">
        <v>73</v>
      </c>
      <c r="C15" s="12">
        <v>-45.305</v>
      </c>
      <c r="D15" s="12">
        <v>-99.38</v>
      </c>
      <c r="E15" s="12">
        <v>-1.1419999999999999</v>
      </c>
      <c r="F15" s="12">
        <v>-164.19200000000001</v>
      </c>
      <c r="G15" s="8">
        <v>-67.552999999999997</v>
      </c>
      <c r="H15" s="12">
        <v>-142.07900000000001</v>
      </c>
      <c r="I15" s="12">
        <v>-114.422</v>
      </c>
      <c r="J15" s="12">
        <v>-153.56800000000001</v>
      </c>
    </row>
    <row r="16" spans="2:10">
      <c r="B16" s="11" t="s">
        <v>192</v>
      </c>
      <c r="C16" s="8">
        <v>14.75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</row>
    <row r="17" spans="2:10">
      <c r="B17" s="11" t="s">
        <v>201</v>
      </c>
      <c r="C17" s="12">
        <v>-29.501000000000001</v>
      </c>
      <c r="D17" s="12">
        <v>-37.859000000000002</v>
      </c>
      <c r="E17" s="12">
        <v>-35.411000000000001</v>
      </c>
      <c r="F17" s="12">
        <v>-26.096</v>
      </c>
      <c r="G17" s="12">
        <v>-36.847000000000001</v>
      </c>
      <c r="H17" s="12">
        <v>-46.680999999999997</v>
      </c>
      <c r="I17" s="12">
        <v>-56.658000000000001</v>
      </c>
      <c r="J17" s="12">
        <v>0.44400000000000001</v>
      </c>
    </row>
    <row r="18" spans="2:10">
      <c r="B18" s="11" t="s">
        <v>202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</row>
    <row r="19" spans="2:10">
      <c r="B19" s="11" t="s">
        <v>193</v>
      </c>
      <c r="C19" s="12">
        <v>-29.501000000000001</v>
      </c>
      <c r="D19" s="12">
        <v>-37.859000000000002</v>
      </c>
      <c r="E19" s="8">
        <v>-35.411000000000001</v>
      </c>
      <c r="F19" s="12">
        <v>-26.096</v>
      </c>
      <c r="G19" s="12">
        <v>-36.847000000000001</v>
      </c>
      <c r="H19" s="12">
        <v>-46.680999999999997</v>
      </c>
      <c r="I19" s="12">
        <v>-56.658000000000001</v>
      </c>
      <c r="J19" s="12">
        <v>0.44400000000000001</v>
      </c>
    </row>
    <row r="20" spans="2:10">
      <c r="B20" s="11" t="s">
        <v>78</v>
      </c>
      <c r="C20" s="12">
        <v>-22.126000000000001</v>
      </c>
      <c r="D20" s="12">
        <v>37.859000000000002</v>
      </c>
      <c r="E20" s="12">
        <v>-21.704000000000001</v>
      </c>
      <c r="F20" s="12">
        <v>0</v>
      </c>
      <c r="G20" s="12">
        <v>-57.16</v>
      </c>
      <c r="H20" s="12">
        <v>0</v>
      </c>
      <c r="I20" s="12">
        <v>0</v>
      </c>
      <c r="J20" s="12">
        <v>0</v>
      </c>
    </row>
    <row r="21" spans="2:10">
      <c r="B21" s="13" t="s">
        <v>64</v>
      </c>
      <c r="C21" s="12">
        <v>-421.44</v>
      </c>
      <c r="D21" s="12">
        <v>-408.17</v>
      </c>
      <c r="E21" s="12">
        <v>-279.86399999999998</v>
      </c>
      <c r="F21" s="12">
        <v>-528.19200000000001</v>
      </c>
      <c r="G21" s="12">
        <v>-396.93400000000003</v>
      </c>
      <c r="H21" s="12">
        <v>-409.62099999999998</v>
      </c>
      <c r="I21" s="12">
        <v>-347.47199999999998</v>
      </c>
      <c r="J21" s="12">
        <v>-297.36500000000001</v>
      </c>
    </row>
    <row r="22" spans="2:10">
      <c r="B22" s="11" t="s">
        <v>65</v>
      </c>
      <c r="C22" s="12">
        <v>0</v>
      </c>
      <c r="D22" s="12">
        <v>-153.803</v>
      </c>
      <c r="E22" s="12">
        <v>678.52599999999995</v>
      </c>
      <c r="F22" s="12">
        <v>-44.24</v>
      </c>
      <c r="G22" s="12">
        <v>0</v>
      </c>
      <c r="H22" s="12">
        <v>-282.57499999999999</v>
      </c>
      <c r="I22" s="12">
        <v>414.86399999999998</v>
      </c>
      <c r="J22" s="12">
        <v>121.47799999999999</v>
      </c>
    </row>
    <row r="23" spans="2:10">
      <c r="B23" s="11" t="s">
        <v>66</v>
      </c>
      <c r="C23" s="12">
        <v>-67.430000000000007</v>
      </c>
      <c r="D23" s="12">
        <v>-69.802999999999997</v>
      </c>
      <c r="E23" s="12">
        <v>-58.256999999999998</v>
      </c>
      <c r="F23" s="12">
        <v>-103.712</v>
      </c>
      <c r="G23" s="12">
        <v>0</v>
      </c>
      <c r="H23" s="12">
        <v>88.275999999999996</v>
      </c>
      <c r="I23" s="12">
        <v>0</v>
      </c>
      <c r="J23" s="12">
        <v>-1.444</v>
      </c>
    </row>
    <row r="24" spans="2:10">
      <c r="B24" s="11" t="s">
        <v>80</v>
      </c>
      <c r="C24" s="12">
        <v>-67.430000000000007</v>
      </c>
      <c r="D24" s="12">
        <v>-223.60599999999999</v>
      </c>
      <c r="E24" s="12">
        <v>620.26900000000001</v>
      </c>
      <c r="F24" s="12">
        <v>-147.952</v>
      </c>
      <c r="G24" s="12">
        <v>0</v>
      </c>
      <c r="H24" s="12">
        <v>-194.29900000000001</v>
      </c>
      <c r="I24" s="12">
        <v>414.86399999999998</v>
      </c>
      <c r="J24" s="12">
        <v>120.03400000000001</v>
      </c>
    </row>
    <row r="25" spans="2:10">
      <c r="B25" s="11" t="s">
        <v>82</v>
      </c>
      <c r="C25" s="12">
        <v>0</v>
      </c>
      <c r="D25" s="12">
        <v>-9.4649999999999999</v>
      </c>
      <c r="E25" s="12">
        <v>26.273</v>
      </c>
      <c r="F25" s="12">
        <v>21.056000000000001</v>
      </c>
      <c r="G25" s="12">
        <v>19.25</v>
      </c>
      <c r="H25" s="12">
        <v>16.163</v>
      </c>
      <c r="I25" s="12">
        <v>16.045999999999999</v>
      </c>
      <c r="J25" s="12">
        <v>10.327</v>
      </c>
    </row>
    <row r="26" spans="2:10">
      <c r="B26" s="11" t="s">
        <v>67</v>
      </c>
      <c r="C26" s="12">
        <v>0</v>
      </c>
      <c r="D26" s="12">
        <v>-9.4649999999999999</v>
      </c>
      <c r="E26" s="12">
        <v>26.273</v>
      </c>
      <c r="F26" s="12">
        <v>21.056000000000001</v>
      </c>
      <c r="G26" s="12">
        <v>19.25</v>
      </c>
      <c r="H26" s="12">
        <v>16.163</v>
      </c>
      <c r="I26" s="12">
        <v>16.045999999999999</v>
      </c>
      <c r="J26" s="12">
        <v>10.327</v>
      </c>
    </row>
    <row r="27" spans="2:10">
      <c r="B27" s="11" t="s">
        <v>194</v>
      </c>
      <c r="C27" s="12">
        <v>-130.64599999999999</v>
      </c>
      <c r="D27" s="12">
        <v>-94.647999999999996</v>
      </c>
      <c r="E27" s="12">
        <v>-7996</v>
      </c>
      <c r="F27" s="12">
        <v>-164.75200000000001</v>
      </c>
      <c r="G27" s="12">
        <v>-139.83000000000001</v>
      </c>
      <c r="H27" s="12">
        <v>-110.31699999999999</v>
      </c>
      <c r="I27" s="12">
        <v>-96.164000000000001</v>
      </c>
      <c r="J27" s="12">
        <v>-82.17</v>
      </c>
    </row>
    <row r="28" spans="2:10">
      <c r="B28" s="11" t="s">
        <v>195</v>
      </c>
      <c r="C28" s="12">
        <v>-37.93</v>
      </c>
      <c r="D28" s="12">
        <v>0</v>
      </c>
      <c r="E28" s="12">
        <v>-63.969000000000001</v>
      </c>
      <c r="F28" s="12">
        <v>-70.784000000000006</v>
      </c>
      <c r="G28" s="12">
        <v>-189.66900000000001</v>
      </c>
      <c r="H28" s="12">
        <v>-87.823999999999998</v>
      </c>
      <c r="I28" s="8">
        <v>-87643</v>
      </c>
      <c r="J28" s="12">
        <v>-95.605000000000004</v>
      </c>
    </row>
    <row r="29" spans="2:10">
      <c r="B29" s="1" t="s">
        <v>86</v>
      </c>
      <c r="C29" s="12">
        <v>-236.006</v>
      </c>
      <c r="D29" s="12">
        <v>-326.536</v>
      </c>
      <c r="E29" s="12">
        <v>575.71900000000005</v>
      </c>
      <c r="F29" s="12">
        <v>-362.43200000000002</v>
      </c>
      <c r="G29" s="12">
        <v>-310.24900000000002</v>
      </c>
      <c r="H29" s="12">
        <v>-376.27699999999999</v>
      </c>
      <c r="I29" s="12">
        <v>247.10400000000001</v>
      </c>
      <c r="J29" s="12">
        <v>-47.414000000000001</v>
      </c>
    </row>
    <row r="30" spans="2:10">
      <c r="B30" s="1" t="s">
        <v>68</v>
      </c>
      <c r="C30" s="12">
        <v>106.414</v>
      </c>
      <c r="D30" s="12">
        <v>60.338000000000001</v>
      </c>
      <c r="E30" s="12">
        <v>724.21799999999996</v>
      </c>
      <c r="F30" s="12">
        <v>45.36</v>
      </c>
      <c r="G30" s="12">
        <v>-8.3849999999999998</v>
      </c>
      <c r="H30" s="12">
        <v>-244.48400000000001</v>
      </c>
      <c r="I30" s="12">
        <v>298.00700000000001</v>
      </c>
      <c r="J30" s="12">
        <v>-12.77</v>
      </c>
    </row>
    <row r="31" spans="2:10">
      <c r="B31" s="1" t="s">
        <v>204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</row>
    <row r="32" spans="2:10">
      <c r="B32" s="1" t="s">
        <v>203</v>
      </c>
      <c r="C32" s="12">
        <v>-130.64599999999999</v>
      </c>
      <c r="D32" s="12">
        <v>-94.647999999999996</v>
      </c>
      <c r="E32" s="12">
        <v>-7.9960000000000004</v>
      </c>
      <c r="F32" s="12">
        <v>-164.75200000000001</v>
      </c>
      <c r="G32" s="12">
        <v>-139.83000000000001</v>
      </c>
      <c r="H32" s="12">
        <v>-110.31699999999999</v>
      </c>
      <c r="I32" s="12">
        <v>-96.164000000000001</v>
      </c>
      <c r="J32" s="12">
        <v>-82.17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Presentation</vt:lpstr>
      <vt:lpstr>calc&gt;&gt;</vt:lpstr>
      <vt:lpstr>TokyoGas(TKGSY)</vt:lpstr>
      <vt:lpstr>Amazon(AMZN)</vt:lpstr>
      <vt:lpstr>MTU(MTX)</vt:lpstr>
      <vt:lpstr>inputs&gt;&gt;</vt:lpstr>
      <vt:lpstr>PL(TKGSY)</vt:lpstr>
      <vt:lpstr>BS(TKGSY)</vt:lpstr>
      <vt:lpstr>CF(TKGSY)</vt:lpstr>
      <vt:lpstr>PL(AMZN)</vt:lpstr>
      <vt:lpstr>BS(AMZN)</vt:lpstr>
      <vt:lpstr>CF(AMZN)</vt:lpstr>
      <vt:lpstr>PL(MTX)</vt:lpstr>
      <vt:lpstr>BS(MTX)</vt:lpstr>
      <vt:lpstr>CF(MTX)</vt:lpstr>
      <vt:lpstr>Presentation!Print_Area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2024-03-12T07:26:54Z</dcterms:created>
  <dcterms:modified xsi:type="dcterms:W3CDTF">2024-03-24T13:34:14Z</dcterms:modified>
</cp:coreProperties>
</file>