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<sst xmlns="http://schemas.openxmlformats.org/spreadsheetml/2006/main" count="106" uniqueCount="50">
  <si>
    <t>Media</t>
  </si>
  <si>
    <t>Time Period</t>
  </si>
  <si>
    <t>Proportion of Population</t>
  </si>
  <si>
    <t>Type of Proportion</t>
  </si>
  <si>
    <t>Converted to Individual</t>
  </si>
  <si>
    <t>Source</t>
  </si>
  <si>
    <t>Function</t>
  </si>
  <si>
    <t>Newspaper</t>
  </si>
  <si>
    <t>calculated from fitted logistic regression from other 4 newspaper data points</t>
  </si>
  <si>
    <t>y = 0.029581468 + (0.310247244 - 0.029581468) / (1 + (x / 134.7454701)^11.25094548)</t>
  </si>
  <si>
    <t>daily newspapers per household</t>
  </si>
  <si>
    <t>https://www.census.gov/history/www/through_the_decades/overview/1920.html</t>
  </si>
  <si>
    <t>Radio (Ascent)</t>
  </si>
  <si>
    <t>y = 2.69323 + (.14253 - 2.69323)/(1 + (x / 61.9931)^5.66324)</t>
  </si>
  <si>
    <t>Incline, then Decline</t>
  </si>
  <si>
    <t>Radio (Descent)</t>
  </si>
  <si>
    <t>y = .89776 + (138.735 - .89776) / (1 + (x / 53.7614)^18.8628)</t>
  </si>
  <si>
    <t>daily cirulation divided by us pop</t>
  </si>
  <si>
    <t>http://www.journalism.org/numbers/u-s-daily-newspaper-circulation-5-year-increments/</t>
  </si>
  <si>
    <t>Television</t>
  </si>
  <si>
    <t>y = .8918 + (.30361 - .8918) / (1 + (x / 46.1196)^91.5954)</t>
  </si>
  <si>
    <t>http://www.stateofthemedia.org/2011/newspapers-essay/data-page-6/</t>
  </si>
  <si>
    <t>Internet</t>
  </si>
  <si>
    <t>y = 1.03816 - 1.03816 / (1 + (x / 12.9538)^2.44808)</t>
  </si>
  <si>
    <t>Radio</t>
  </si>
  <si>
    <t>percent of households</t>
  </si>
  <si>
    <t>http://xroads.virginia.edu/~ug00/3on1/radioshow/1920radio.htm</t>
  </si>
  <si>
    <t>https://transition.fcc.gov/osp/inc-report/INoC-2-Radio.pdf</t>
  </si>
  <si>
    <t>percent of households with at least one</t>
  </si>
  <si>
    <t>https://en.wikipedia.org/wiki/Radio_in_the_United_States</t>
  </si>
  <si>
    <t>percent of population reached</t>
  </si>
  <si>
    <t>http://www.statista.com/statistics/244991/radios-weekly-reach-in-the-us-by-platform/</t>
  </si>
  <si>
    <t>Years After 1870</t>
  </si>
  <si>
    <t>Residuals</t>
  </si>
  <si>
    <t>proportion of households that have tv in 1975</t>
  </si>
  <si>
    <t>http://www.nationmaster.com/country-info/stats/Media/Households-with-television#1975</t>
  </si>
  <si>
    <t>proportion of households that have tv in 1995</t>
  </si>
  <si>
    <t>http://www.nationmaster.com/country-info/stats/Media/Households-with-television#1995</t>
  </si>
  <si>
    <t>proportion of population that have tv</t>
  </si>
  <si>
    <t>Nielson total audience report</t>
  </si>
  <si>
    <t>Actual</t>
  </si>
  <si>
    <t>Predicted</t>
  </si>
  <si>
    <t>proportion of population that are internet users</t>
  </si>
  <si>
    <t>http://data.worldbank.org/indicator/IT.NET.USER.P2 1995</t>
  </si>
  <si>
    <t>http://data.worldbank.org/indicator/IT.NET.USER.P2 2014</t>
  </si>
  <si>
    <t>Years after 1950</t>
  </si>
  <si>
    <t>Years After 1990</t>
  </si>
  <si>
    <t>Years After 1920</t>
  </si>
  <si>
    <t>Medium</t>
  </si>
  <si>
    <t>Proportion of Media Access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</si>
</sst>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"/>
  </numFmts>
  <fonts count="10">
    <font>
      <sz val="10.0"/>
      <color rgb="FF000000"/>
      <name val="Arial"/>
    </font>
    <font>
      <b/>
    </font>
    <font>
      <b/>
      <sz val="11.0"/>
      <name val="Arial"/>
    </font>
    <font/>
    <font>
      <name val="Arial"/>
    </font>
    <font>
      <sz val="11.0"/>
      <name val="Arial"/>
    </font>
    <font>
      <sz val="11.0"/>
      <color rgb="FF000000"/>
      <name val="Arial"/>
    </font>
    <font>
      <u/>
      <color rgb="FF0000FF"/>
    </font>
    <font>
      <sz val="11.0"/>
      <color rgb="FF000000"/>
      <name val="Calibri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Alignment="1" applyFill="1" applyFont="1">
      <alignment/>
    </xf>
    <xf borderId="0" fillId="2" fontId="4" numFmtId="0" xfId="0" applyAlignment="1" applyFont="1">
      <alignment horizontal="right"/>
    </xf>
    <xf borderId="0" fillId="0" fontId="3" numFmtId="0" xfId="0" applyAlignment="1" applyFont="1">
      <alignment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2" fontId="3" numFmtId="0" xfId="0" applyFont="1"/>
    <xf borderId="0" fillId="0" fontId="7" numFmtId="0" xfId="0" applyAlignment="1" applyFont="1">
      <alignment/>
    </xf>
    <xf borderId="0" fillId="0" fontId="8" numFmtId="0" xfId="0" applyAlignment="1" applyFont="1">
      <alignment/>
    </xf>
    <xf borderId="0" fillId="2" fontId="4" numFmtId="0" xfId="0" applyAlignment="1" applyFont="1">
      <alignment horizontal="right"/>
    </xf>
    <xf borderId="0" fillId="0" fontId="3" numFmtId="164" xfId="0" applyAlignment="1" applyFont="1" applyNumberFormat="1">
      <alignment/>
    </xf>
    <xf borderId="0" fillId="2" fontId="3" numFmtId="164" xfId="0" applyFont="1" applyNumberFormat="1"/>
    <xf borderId="0" fillId="0" fontId="3" numFmtId="0" xfId="0" applyAlignment="1" applyFont="1">
      <alignment/>
    </xf>
    <xf borderId="0" fillId="0" fontId="4" numFmtId="0" xfId="0" applyAlignment="1" applyFont="1">
      <alignment horizontal="right"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3" fontId="9" numFmtId="0" xfId="0" applyFill="1" applyFont="1"/>
    <xf borderId="0" fillId="3" fontId="6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Chart title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Sheet1!$B$3:$B$7</c:f>
            </c:numRef>
          </c:xVal>
          <c:yVal>
            <c:numRef>
              <c:f>Sheet1!$E$3:$E$7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851805"/>
        <c:axId val="1178679022"/>
      </c:scatterChart>
      <c:valAx>
        <c:axId val="8778518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78679022"/>
      </c:valAx>
      <c:valAx>
        <c:axId val="1178679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77851805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Proportion of Population with Access to Television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Sheet1!$L$24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Sheet1!$J$25:$J$29</c:f>
            </c:numRef>
          </c:xVal>
          <c:yVal>
            <c:numRef>
              <c:f>Sheet1!$L$25:$L$29</c:f>
            </c:numRef>
          </c:yVal>
        </c:ser>
        <c:ser>
          <c:idx val="1"/>
          <c:order val="1"/>
          <c:tx>
            <c:strRef>
              <c:f>Sheet1!$M$24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Sheet1!$J$25:$J$29</c:f>
            </c:numRef>
          </c:xVal>
          <c:yVal>
            <c:numRef>
              <c:f>Sheet1!$M$25:$M$30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641420"/>
        <c:axId val="76144419"/>
      </c:scatterChart>
      <c:valAx>
        <c:axId val="21346414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Years after 1950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6144419"/>
      </c:valAx>
      <c:valAx>
        <c:axId val="76144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Proportion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34641420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Proportion of Population with Access to Internet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Sheet1!$J$31:$J$36</c:f>
            </c:numRef>
          </c:xVal>
          <c:yVal>
            <c:numRef>
              <c:f>Sheet1!$L$31:$L$36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Sheet1!$J$31:$J$36</c:f>
            </c:numRef>
          </c:xVal>
          <c:yVal>
            <c:numRef>
              <c:f>Sheet1!$M$31:$M$37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675337"/>
        <c:axId val="762840536"/>
      </c:scatterChart>
      <c:valAx>
        <c:axId val="14846753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Years after 1990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62840536"/>
      </c:valAx>
      <c:valAx>
        <c:axId val="762840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Proportion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84675337"/>
      </c:valAx>
    </c:plotArea>
    <c:legend>
      <c:legendPos val="r"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</a:p>
      </c:txPr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Proportion of Population with Access to Internet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Sheet1!$J$31:$J$36</c:f>
            </c:numRef>
          </c:xVal>
          <c:yVal>
            <c:numRef>
              <c:f>Sheet1!$L$31:$L$36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Sheet1!$J$31:$J$36</c:f>
            </c:numRef>
          </c:xVal>
          <c:yVal>
            <c:numRef>
              <c:f>Sheet1!$M$31:$M$37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556827"/>
        <c:axId val="1691327649"/>
      </c:scatterChart>
      <c:valAx>
        <c:axId val="18315568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Years after 1990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91327649"/>
      </c:valAx>
      <c:valAx>
        <c:axId val="1691327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Proportion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31556827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Proportion of Population with Access to Radio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Sheet1!$L$38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Sheet1!$J$39:$J$41</c:f>
            </c:numRef>
          </c:xVal>
          <c:yVal>
            <c:numRef>
              <c:f>Sheet1!$L$39:$L$43</c:f>
            </c:numRef>
          </c:yVal>
        </c:ser>
        <c:ser>
          <c:idx val="1"/>
          <c:order val="1"/>
          <c:tx>
            <c:strRef>
              <c:f>Sheet1!$M$38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Sheet1!$J$39:$J$41</c:f>
            </c:numRef>
          </c:xVal>
          <c:yVal>
            <c:numRef>
              <c:f>Sheet1!$M$39:$M$43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61599"/>
        <c:axId val="313813523"/>
      </c:scatterChart>
      <c:valAx>
        <c:axId val="9760615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Years after 1920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13813523"/>
      </c:valAx>
      <c:valAx>
        <c:axId val="313813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Proportion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76061599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Proportion of Population with Access to Radio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Sheet1!$J$43:$J$49</c:f>
            </c:numRef>
          </c:xVal>
          <c:yVal>
            <c:numRef>
              <c:f>Sheet1!$L$43:$L$49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Sheet1!$J$43:$J$49</c:f>
            </c:numRef>
          </c:xVal>
          <c:yVal>
            <c:numRef>
              <c:f>Sheet1!$M$43:$M$49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7384"/>
        <c:axId val="1411302324"/>
      </c:scatterChart>
      <c:valAx>
        <c:axId val="14578173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Years after 1920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11302324"/>
      </c:valAx>
      <c:valAx>
        <c:axId val="1411302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Proportion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57817384"/>
      </c:valAx>
    </c:plotArea>
    <c:legend>
      <c:legendPos val="r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Proportion of Population with Access to Radio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Sheet1!$L$43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Sheet1!$J$44:$J$49</c:f>
            </c:numRef>
          </c:xVal>
          <c:yVal>
            <c:numRef>
              <c:f>Sheet1!$L$44:$L$49</c:f>
            </c:numRef>
          </c:yVal>
        </c:ser>
        <c:ser>
          <c:idx val="1"/>
          <c:order val="1"/>
          <c:tx>
            <c:strRef>
              <c:f>Sheet1!$M$43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Sheet1!$J$44:$J$49</c:f>
            </c:numRef>
          </c:xVal>
          <c:yVal>
            <c:numRef>
              <c:f>Sheet1!$M$44:$M$49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606"/>
        <c:axId val="267988968"/>
      </c:scatterChart>
      <c:valAx>
        <c:axId val="315916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Years after 1920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67988968"/>
      </c:valAx>
      <c:valAx>
        <c:axId val="267988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Proportion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1591606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Sheet1!$K$25:$K$36</c:f>
            </c:numRef>
          </c:xVal>
          <c:yVal>
            <c:numRef>
              <c:f>Sheet1!$L$25:$L$36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863807"/>
        <c:axId val="1514788009"/>
      </c:scatterChart>
      <c:valAx>
        <c:axId val="16128638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14788009"/>
      </c:valAx>
      <c:valAx>
        <c:axId val="1514788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12863807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Sheet1!$N$25:$N$29</c:f>
            </c:numRef>
          </c:xVal>
          <c:yVal>
            <c:numRef>
              <c:f>Sheet1!$O$25:$O$29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813632"/>
        <c:axId val="1708355010"/>
      </c:scatterChart>
      <c:valAx>
        <c:axId val="8898136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08355010"/>
      </c:valAx>
      <c:valAx>
        <c:axId val="1708355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89813632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Sheet1!$N$25:$N$29</c:f>
            </c:numRef>
          </c:xVal>
          <c:yVal>
            <c:numRef>
              <c:f>Sheet1!$O$25:$O$29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829290"/>
        <c:axId val="1302625954"/>
      </c:scatterChart>
      <c:valAx>
        <c:axId val="17388292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02625954"/>
      </c:valAx>
      <c:valAx>
        <c:axId val="1302625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38829290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Sheet1!$Q$25:$Q$32</c:f>
            </c:numRef>
          </c:xVal>
          <c:yVal>
            <c:numRef>
              <c:f>Sheet1!$R$25:$R$32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954053"/>
        <c:axId val="1474543144"/>
      </c:scatterChart>
      <c:valAx>
        <c:axId val="3199540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74543144"/>
      </c:valAx>
      <c:valAx>
        <c:axId val="1474543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19954053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Sheet1!$Q$25:$Q$32</c:f>
            </c:numRef>
          </c:xVal>
          <c:yVal>
            <c:numRef>
              <c:f>Sheet1!$R$25:$R$32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64762"/>
        <c:axId val="1350623064"/>
      </c:scatterChart>
      <c:valAx>
        <c:axId val="2971647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50623064"/>
      </c:valAx>
      <c:valAx>
        <c:axId val="1350623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97164762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Sheet1!$N$25:$N$29</c:f>
            </c:numRef>
          </c:xVal>
          <c:yVal>
            <c:numRef>
              <c:f>Sheet1!$O$25:$O$29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187647"/>
        <c:axId val="768498349"/>
      </c:scatterChart>
      <c:valAx>
        <c:axId val="16501876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68498349"/>
      </c:valAx>
      <c:valAx>
        <c:axId val="768498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50187647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Residuals vs. Years After 1990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Sheet1!$O$31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Sheet1!$N$32:$N$36</c:f>
            </c:numRef>
          </c:xVal>
          <c:yVal>
            <c:numRef>
              <c:f>Sheet1!$O$32:$O$36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320491"/>
        <c:axId val="1419664661"/>
      </c:scatterChart>
      <c:valAx>
        <c:axId val="13423204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Years After 1990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19664661"/>
      </c:valAx>
      <c:valAx>
        <c:axId val="1419664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Residuals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42320491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Proportion of Population with Access to Newspaper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Sheet1!$L$18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Sheet1!$J$19:$J$21</c:f>
            </c:numRef>
          </c:xVal>
          <c:yVal>
            <c:numRef>
              <c:f>Sheet1!$L$19:$L$21</c:f>
            </c:numRef>
          </c:yVal>
        </c:ser>
        <c:ser>
          <c:idx val="1"/>
          <c:order val="1"/>
          <c:tx>
            <c:strRef>
              <c:f>Sheet1!$M$18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Sheet1!$J$19:$J$21</c:f>
            </c:numRef>
          </c:xVal>
          <c:yVal>
            <c:numRef>
              <c:f>Sheet1!$M$19:$M$21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945052"/>
        <c:axId val="1159735248"/>
      </c:scatterChart>
      <c:valAx>
        <c:axId val="20549450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Years after 1870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59735248"/>
      </c:valAx>
      <c:valAx>
        <c:axId val="1159735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Proportion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5494505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22</xdr:row>
      <xdr:rowOff>133350</xdr:rowOff>
    </xdr:from>
    <xdr:to>
      <xdr:col>3</xdr:col>
      <xdr:colOff>2190750</xdr:colOff>
      <xdr:row>40</xdr:row>
      <xdr:rowOff>66675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2619375</xdr:colOff>
      <xdr:row>23</xdr:row>
      <xdr:rowOff>85725</xdr:rowOff>
    </xdr:from>
    <xdr:to>
      <xdr:col>8</xdr:col>
      <xdr:colOff>685800</xdr:colOff>
      <xdr:row>41</xdr:row>
      <xdr:rowOff>19050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3</xdr:col>
      <xdr:colOff>2257425</xdr:colOff>
      <xdr:row>45</xdr:row>
      <xdr:rowOff>85725</xdr:rowOff>
    </xdr:from>
    <xdr:to>
      <xdr:col>8</xdr:col>
      <xdr:colOff>628650</xdr:colOff>
      <xdr:row>63</xdr:row>
      <xdr:rowOff>19050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9</xdr:col>
      <xdr:colOff>723900</xdr:colOff>
      <xdr:row>60</xdr:row>
      <xdr:rowOff>161925</xdr:rowOff>
    </xdr:from>
    <xdr:to>
      <xdr:col>14</xdr:col>
      <xdr:colOff>533400</xdr:colOff>
      <xdr:row>78</xdr:row>
      <xdr:rowOff>95250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15</xdr:col>
      <xdr:colOff>619125</xdr:colOff>
      <xdr:row>32</xdr:row>
      <xdr:rowOff>47625</xdr:rowOff>
    </xdr:from>
    <xdr:to>
      <xdr:col>20</xdr:col>
      <xdr:colOff>552450</xdr:colOff>
      <xdr:row>49</xdr:row>
      <xdr:rowOff>180975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15</xdr:col>
      <xdr:colOff>762000</xdr:colOff>
      <xdr:row>56</xdr:row>
      <xdr:rowOff>142875</xdr:rowOff>
    </xdr:from>
    <xdr:to>
      <xdr:col>20</xdr:col>
      <xdr:colOff>695325</xdr:colOff>
      <xdr:row>74</xdr:row>
      <xdr:rowOff>76200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18</xdr:col>
      <xdr:colOff>266700</xdr:colOff>
      <xdr:row>22</xdr:row>
      <xdr:rowOff>57150</xdr:rowOff>
    </xdr:from>
    <xdr:to>
      <xdr:col>21</xdr:col>
      <xdr:colOff>428625</xdr:colOff>
      <xdr:row>31</xdr:row>
      <xdr:rowOff>142875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17</xdr:col>
      <xdr:colOff>904875</xdr:colOff>
      <xdr:row>5</xdr:row>
      <xdr:rowOff>47625</xdr:rowOff>
    </xdr:from>
    <xdr:to>
      <xdr:col>21</xdr:col>
      <xdr:colOff>447675</xdr:colOff>
      <xdr:row>15</xdr:row>
      <xdr:rowOff>142875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0</xdr:col>
      <xdr:colOff>695325</xdr:colOff>
      <xdr:row>28</xdr:row>
      <xdr:rowOff>0</xdr:rowOff>
    </xdr:from>
    <xdr:to>
      <xdr:col>4</xdr:col>
      <xdr:colOff>19050</xdr:colOff>
      <xdr:row>45</xdr:row>
      <xdr:rowOff>133350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1</xdr:col>
      <xdr:colOff>819150</xdr:colOff>
      <xdr:row>35</xdr:row>
      <xdr:rowOff>47625</xdr:rowOff>
    </xdr:from>
    <xdr:to>
      <xdr:col>4</xdr:col>
      <xdr:colOff>1104900</xdr:colOff>
      <xdr:row>52</xdr:row>
      <xdr:rowOff>180975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  <xdr:twoCellAnchor>
    <xdr:from>
      <xdr:col>3</xdr:col>
      <xdr:colOff>1647825</xdr:colOff>
      <xdr:row>39</xdr:row>
      <xdr:rowOff>95250</xdr:rowOff>
    </xdr:from>
    <xdr:to>
      <xdr:col>8</xdr:col>
      <xdr:colOff>19050</xdr:colOff>
      <xdr:row>57</xdr:row>
      <xdr:rowOff>28575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twoCellAnchor>
  <xdr:twoCellAnchor>
    <xdr:from>
      <xdr:col>10</xdr:col>
      <xdr:colOff>152400</xdr:colOff>
      <xdr:row>56</xdr:row>
      <xdr:rowOff>161925</xdr:rowOff>
    </xdr:from>
    <xdr:to>
      <xdr:col>14</xdr:col>
      <xdr:colOff>923925</xdr:colOff>
      <xdr:row>74</xdr:row>
      <xdr:rowOff>95250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twoCellAnchor>
  <xdr:twoCellAnchor>
    <xdr:from>
      <xdr:col>3</xdr:col>
      <xdr:colOff>2343150</xdr:colOff>
      <xdr:row>36</xdr:row>
      <xdr:rowOff>76200</xdr:rowOff>
    </xdr:from>
    <xdr:to>
      <xdr:col>8</xdr:col>
      <xdr:colOff>714375</xdr:colOff>
      <xdr:row>54</xdr:row>
      <xdr:rowOff>9525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twoCellAnchor>
  <xdr:twoCellAnchor>
    <xdr:from>
      <xdr:col>11</xdr:col>
      <xdr:colOff>1238250</xdr:colOff>
      <xdr:row>56</xdr:row>
      <xdr:rowOff>180975</xdr:rowOff>
    </xdr:from>
    <xdr:to>
      <xdr:col>16</xdr:col>
      <xdr:colOff>76200</xdr:colOff>
      <xdr:row>74</xdr:row>
      <xdr:rowOff>114300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twoCellAnchor>
  <xdr:twoCellAnchor>
    <xdr:from>
      <xdr:col>12</xdr:col>
      <xdr:colOff>1447800</xdr:colOff>
      <xdr:row>59</xdr:row>
      <xdr:rowOff>123825</xdr:rowOff>
    </xdr:from>
    <xdr:to>
      <xdr:col>17</xdr:col>
      <xdr:colOff>771525</xdr:colOff>
      <xdr:row>77</xdr:row>
      <xdr:rowOff>57150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.xml"/><Relationship Id="rId10" Type="http://schemas.openxmlformats.org/officeDocument/2006/relationships/hyperlink" Target="http://www.nationmaster.com/country-info/stats/Media/Households-with-television" TargetMode="External"/><Relationship Id="rId1" Type="http://schemas.openxmlformats.org/officeDocument/2006/relationships/hyperlink" Target="https://www.census.gov/history/www/through_the_decades/overview/1920.html" TargetMode="External"/><Relationship Id="rId2" Type="http://schemas.openxmlformats.org/officeDocument/2006/relationships/hyperlink" Target="http://www.journalism.org/numbers/u-s-daily-newspaper-circulation-5-year-increments/" TargetMode="External"/><Relationship Id="rId3" Type="http://schemas.openxmlformats.org/officeDocument/2006/relationships/hyperlink" Target="http://www.stateofthemedia.org/2011/newspapers-essay/data-page-6/" TargetMode="External"/><Relationship Id="rId4" Type="http://schemas.openxmlformats.org/officeDocument/2006/relationships/hyperlink" Target="http://www.stateofthemedia.org/2011/newspapers-essay/data-page-6/" TargetMode="External"/><Relationship Id="rId9" Type="http://schemas.openxmlformats.org/officeDocument/2006/relationships/hyperlink" Target="http://www.nationmaster.com/country-info/stats/Media/Households-with-television" TargetMode="External"/><Relationship Id="rId5" Type="http://schemas.openxmlformats.org/officeDocument/2006/relationships/hyperlink" Target="http://xroads.virginia.edu/~ug00/3on1/radioshow/1920radio.htm" TargetMode="External"/><Relationship Id="rId6" Type="http://schemas.openxmlformats.org/officeDocument/2006/relationships/hyperlink" Target="https://transition.fcc.gov/osp/inc-report/INoC-2-Radio.pdf" TargetMode="External"/><Relationship Id="rId7" Type="http://schemas.openxmlformats.org/officeDocument/2006/relationships/hyperlink" Target="https://en.wikipedia.org/wiki/Radio_in_the_United_States" TargetMode="External"/><Relationship Id="rId8" Type="http://schemas.openxmlformats.org/officeDocument/2006/relationships/hyperlink" Target="http://www.statista.com/statistics/244991/radios-weekly-reach-in-the-us-by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4.0"/>
    <col customWidth="1" min="4" max="4" width="43.0"/>
    <col customWidth="1" min="5" max="5" width="23.86"/>
    <col customWidth="1" min="12" max="12" width="21.71"/>
    <col customWidth="1" min="13" max="13" width="23.57"/>
    <col customWidth="1" min="16" max="16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L1" s="2" t="s">
        <v>0</v>
      </c>
      <c r="M1" s="2" t="s">
        <v>6</v>
      </c>
    </row>
    <row r="2">
      <c r="A2" s="3" t="s">
        <v>7</v>
      </c>
      <c r="B2" s="4">
        <v>1870.0</v>
      </c>
      <c r="E2" s="3">
        <v>0.3118</v>
      </c>
      <c r="F2" s="5" t="s">
        <v>8</v>
      </c>
      <c r="L2" s="6" t="s">
        <v>7</v>
      </c>
      <c r="M2" s="7" t="s">
        <v>9</v>
      </c>
    </row>
    <row r="3">
      <c r="A3" s="3" t="s">
        <v>7</v>
      </c>
      <c r="B3" s="4">
        <v>1920.0</v>
      </c>
      <c r="C3" s="5">
        <v>1.3</v>
      </c>
      <c r="D3" s="5" t="s">
        <v>10</v>
      </c>
      <c r="E3" s="8" t="str">
        <f>C3*25300000/106500000</f>
        <v>0.3088262911</v>
      </c>
      <c r="F3" s="9" t="s">
        <v>11</v>
      </c>
      <c r="L3" s="6" t="s">
        <v>12</v>
      </c>
      <c r="M3" s="7" t="s">
        <v>13</v>
      </c>
      <c r="Q3" s="10"/>
      <c r="U3" s="5" t="s">
        <v>14</v>
      </c>
    </row>
    <row r="4">
      <c r="A4" s="3"/>
      <c r="B4" s="4"/>
      <c r="D4" s="5"/>
      <c r="E4" s="8"/>
      <c r="F4" s="5"/>
      <c r="L4" s="6" t="s">
        <v>15</v>
      </c>
      <c r="M4" s="7" t="s">
        <v>16</v>
      </c>
    </row>
    <row r="5">
      <c r="A5" s="3" t="s">
        <v>7</v>
      </c>
      <c r="B5" s="4">
        <v>1970.0</v>
      </c>
      <c r="C5" t="str">
        <f>62100000/205100000</f>
        <v>0.3027791321</v>
      </c>
      <c r="D5" s="5" t="s">
        <v>17</v>
      </c>
      <c r="E5" s="8" t="str">
        <f t="shared" ref="E5:E7" si="1">C5</f>
        <v>0.3027791321</v>
      </c>
      <c r="F5" s="9" t="s">
        <v>18</v>
      </c>
      <c r="L5" s="6" t="s">
        <v>19</v>
      </c>
      <c r="M5" s="6" t="s">
        <v>20</v>
      </c>
    </row>
    <row r="6">
      <c r="A6" s="3" t="s">
        <v>7</v>
      </c>
      <c r="B6" s="4">
        <v>1990.0</v>
      </c>
      <c r="C6" s="5" t="str">
        <f>62300000/249600000</f>
        <v>0.249599359</v>
      </c>
      <c r="D6" s="5" t="s">
        <v>17</v>
      </c>
      <c r="E6" s="8" t="str">
        <f t="shared" si="1"/>
        <v>0.249599359</v>
      </c>
      <c r="F6" s="9" t="s">
        <v>21</v>
      </c>
      <c r="L6" s="6" t="s">
        <v>22</v>
      </c>
      <c r="M6" s="7" t="s">
        <v>23</v>
      </c>
    </row>
    <row r="7">
      <c r="A7" s="3" t="s">
        <v>7</v>
      </c>
      <c r="B7" s="4">
        <v>2010.0</v>
      </c>
      <c r="C7" t="str">
        <f>43400000/309300000</f>
        <v>0.1403168445</v>
      </c>
      <c r="D7" s="5" t="s">
        <v>17</v>
      </c>
      <c r="E7" s="8" t="str">
        <f t="shared" si="1"/>
        <v>0.1403168445</v>
      </c>
      <c r="F7" s="9" t="s">
        <v>21</v>
      </c>
    </row>
    <row r="8">
      <c r="A8" s="3" t="s">
        <v>24</v>
      </c>
      <c r="B8" s="11" t="str">
        <f t="shared" ref="B8:B9" si="2">B2</f>
        <v>1870</v>
      </c>
      <c r="C8" s="5">
        <v>0.0</v>
      </c>
      <c r="E8" s="3">
        <v>0.0</v>
      </c>
    </row>
    <row r="9">
      <c r="A9" s="3" t="s">
        <v>24</v>
      </c>
      <c r="B9" s="11" t="str">
        <f t="shared" si="2"/>
        <v>1920</v>
      </c>
      <c r="C9" s="5">
        <v>0.6</v>
      </c>
      <c r="D9" s="5" t="s">
        <v>25</v>
      </c>
      <c r="E9" s="8" t="str">
        <f>C9*25300000/106500000</f>
        <v>0.1425352113</v>
      </c>
      <c r="F9" s="9" t="s">
        <v>26</v>
      </c>
    </row>
    <row r="10">
      <c r="A10" s="3" t="s">
        <v>24</v>
      </c>
      <c r="B10" s="11" t="str">
        <f t="shared" ref="B10:B22" si="3">B5</f>
        <v>1970</v>
      </c>
      <c r="E10" s="3">
        <v>0.725</v>
      </c>
      <c r="F10" s="9" t="s">
        <v>27</v>
      </c>
    </row>
    <row r="11">
      <c r="A11" s="3" t="s">
        <v>24</v>
      </c>
      <c r="B11" s="11" t="str">
        <f t="shared" si="3"/>
        <v>1990</v>
      </c>
      <c r="C11" s="5">
        <v>0.99</v>
      </c>
      <c r="D11" s="5" t="s">
        <v>28</v>
      </c>
      <c r="E11" s="8" t="str">
        <f>C11*5*98990000/266300000        </f>
        <v>1.840031919</v>
      </c>
      <c r="F11" s="9" t="s">
        <v>29</v>
      </c>
    </row>
    <row r="12">
      <c r="A12" s="3" t="s">
        <v>24</v>
      </c>
      <c r="B12" s="11" t="str">
        <f t="shared" si="3"/>
        <v>2010</v>
      </c>
      <c r="C12" s="5">
        <v>0.85</v>
      </c>
      <c r="D12" s="5" t="s">
        <v>30</v>
      </c>
      <c r="E12" s="8" t="str">
        <f>C12</f>
        <v>0.85</v>
      </c>
      <c r="F12" s="9" t="s">
        <v>31</v>
      </c>
      <c r="L12" s="5" t="s">
        <v>32</v>
      </c>
      <c r="M12" s="5" t="s">
        <v>7</v>
      </c>
      <c r="P12" s="5" t="s">
        <v>32</v>
      </c>
      <c r="Q12" s="5" t="s">
        <v>33</v>
      </c>
    </row>
    <row r="13">
      <c r="A13" s="3" t="s">
        <v>19</v>
      </c>
      <c r="B13" s="11" t="str">
        <f t="shared" si="3"/>
        <v>1870</v>
      </c>
      <c r="C13" s="5">
        <v>0.0</v>
      </c>
      <c r="E13" s="3">
        <v>0.0</v>
      </c>
      <c r="L13" s="5">
        <v>50.0</v>
      </c>
      <c r="M13" s="4">
        <v>1920.0</v>
      </c>
      <c r="N13">
        <v>0.3088262910798122</v>
      </c>
      <c r="O13" s="10" t="str">
        <f t="shared" ref="O13:O16" si="4">0.029581468+(0.310247244-0.029581468)/(1+(L13/134.7454701)^11.25094548)</f>
        <v>0.3102432247</v>
      </c>
      <c r="P13" t="str">
        <f t="shared" ref="P13:P16" si="5">L13</f>
        <v>50</v>
      </c>
      <c r="Q13" t="str">
        <f t="shared" ref="Q13:Q16" si="6">N13-O13</f>
        <v>-0.001416933585</v>
      </c>
    </row>
    <row r="14">
      <c r="A14" s="3" t="s">
        <v>19</v>
      </c>
      <c r="B14" s="11" t="str">
        <f t="shared" si="3"/>
        <v>1920</v>
      </c>
      <c r="C14" s="5">
        <v>0.0</v>
      </c>
      <c r="E14" s="3">
        <v>0.0</v>
      </c>
      <c r="L14" s="5">
        <v>100.0</v>
      </c>
      <c r="M14" s="4">
        <v>1970.0</v>
      </c>
      <c r="N14">
        <v>0.302779132130668</v>
      </c>
      <c r="O14" s="10" t="str">
        <f t="shared" si="4"/>
        <v>0.3007819618</v>
      </c>
      <c r="P14" t="str">
        <f t="shared" si="5"/>
        <v>100</v>
      </c>
      <c r="Q14" t="str">
        <f t="shared" si="6"/>
        <v>0.001997170327</v>
      </c>
    </row>
    <row r="15">
      <c r="A15" s="3" t="s">
        <v>19</v>
      </c>
      <c r="B15" s="11" t="str">
        <f t="shared" si="3"/>
        <v>1970</v>
      </c>
      <c r="C15" s="5">
        <v>0.9702</v>
      </c>
      <c r="D15" s="5" t="s">
        <v>34</v>
      </c>
      <c r="E15" s="8" t="str">
        <f>C15*71120000/216000000</f>
        <v>0.3194473333</v>
      </c>
      <c r="F15" s="9" t="s">
        <v>35</v>
      </c>
      <c r="L15" s="5">
        <v>120.0</v>
      </c>
      <c r="M15" s="4">
        <v>1990.0</v>
      </c>
      <c r="N15">
        <v>0.24959935897435898</v>
      </c>
      <c r="O15" s="10" t="str">
        <f t="shared" si="4"/>
        <v>0.2503242522</v>
      </c>
      <c r="P15" t="str">
        <f t="shared" si="5"/>
        <v>120</v>
      </c>
      <c r="Q15" t="str">
        <f t="shared" si="6"/>
        <v>-0.0007248931895</v>
      </c>
    </row>
    <row r="16">
      <c r="A16" s="3" t="s">
        <v>19</v>
      </c>
      <c r="B16" s="11" t="str">
        <f t="shared" si="3"/>
        <v>1990</v>
      </c>
      <c r="C16" s="5">
        <v>0.9675</v>
      </c>
      <c r="D16" s="5" t="s">
        <v>36</v>
      </c>
      <c r="E16" s="8" t="str">
        <f>C16*98990000/266300000        </f>
        <v>0.3596426023</v>
      </c>
      <c r="F16" s="9" t="s">
        <v>37</v>
      </c>
      <c r="L16" s="5">
        <v>140.0</v>
      </c>
      <c r="M16" s="4">
        <v>2010.0</v>
      </c>
      <c r="N16">
        <v>0.14031684448755255</v>
      </c>
      <c r="O16" s="10" t="str">
        <f t="shared" si="4"/>
        <v>0.1401722318</v>
      </c>
      <c r="P16" t="str">
        <f t="shared" si="5"/>
        <v>140</v>
      </c>
      <c r="Q16" t="str">
        <f t="shared" si="6"/>
        <v>0.0001446126524</v>
      </c>
    </row>
    <row r="17">
      <c r="A17" s="3" t="s">
        <v>19</v>
      </c>
      <c r="B17" s="11" t="str">
        <f t="shared" si="3"/>
        <v>2010</v>
      </c>
      <c r="C17" s="12" t="str">
        <f>284380000/318900000</f>
        <v>0.8917529</v>
      </c>
      <c r="D17" s="5" t="s">
        <v>38</v>
      </c>
      <c r="E17" s="13" t="str">
        <f>C17</f>
        <v>0.8917529</v>
      </c>
      <c r="F17" s="5" t="s">
        <v>39</v>
      </c>
    </row>
    <row r="18">
      <c r="A18" s="3" t="s">
        <v>22</v>
      </c>
      <c r="B18" s="11" t="str">
        <f t="shared" si="3"/>
        <v>1870</v>
      </c>
      <c r="C18" s="5">
        <v>0.0</v>
      </c>
      <c r="E18" s="3">
        <v>0.0</v>
      </c>
      <c r="J18" s="5" t="s">
        <v>32</v>
      </c>
      <c r="K18" s="5" t="s">
        <v>7</v>
      </c>
      <c r="L18" s="5" t="s">
        <v>40</v>
      </c>
      <c r="M18" s="5" t="s">
        <v>41</v>
      </c>
      <c r="N18" s="5" t="s">
        <v>32</v>
      </c>
      <c r="O18" s="5" t="s">
        <v>33</v>
      </c>
    </row>
    <row r="19">
      <c r="A19" s="3" t="s">
        <v>22</v>
      </c>
      <c r="B19" s="11" t="str">
        <f t="shared" si="3"/>
        <v>1920</v>
      </c>
      <c r="C19" s="5">
        <v>0.0</v>
      </c>
      <c r="E19" s="3">
        <v>0.0</v>
      </c>
      <c r="J19" s="5">
        <v>50.0</v>
      </c>
      <c r="K19" s="4">
        <v>1920.0</v>
      </c>
      <c r="L19">
        <v>0.3088262910798122</v>
      </c>
      <c r="M19" s="10" t="str">
        <f t="shared" ref="M19:M22" si="7">0.029581468+(0.310247244-0.029581468)/(1+(J19/134.7454701)^11.25094548)</f>
        <v>0.3102432247</v>
      </c>
      <c r="N19" t="str">
        <f t="shared" ref="N19:N22" si="8">J19</f>
        <v>50</v>
      </c>
      <c r="O19" t="str">
        <f t="shared" ref="O19:O22" si="9">L19-M19</f>
        <v>-0.001416933585</v>
      </c>
    </row>
    <row r="20">
      <c r="A20" s="3" t="s">
        <v>22</v>
      </c>
      <c r="B20" s="11" t="str">
        <f t="shared" si="3"/>
        <v>1970</v>
      </c>
      <c r="C20" s="5">
        <v>0.0</v>
      </c>
      <c r="E20" s="3">
        <v>0.0</v>
      </c>
      <c r="J20" s="5">
        <v>100.0</v>
      </c>
      <c r="K20" s="4">
        <v>1970.0</v>
      </c>
      <c r="L20">
        <v>0.302779132130668</v>
      </c>
      <c r="M20" s="10" t="str">
        <f t="shared" si="7"/>
        <v>0.3007819618</v>
      </c>
      <c r="N20" t="str">
        <f t="shared" si="8"/>
        <v>100</v>
      </c>
      <c r="O20" t="str">
        <f t="shared" si="9"/>
        <v>0.001997170327</v>
      </c>
    </row>
    <row r="21">
      <c r="A21" s="3" t="s">
        <v>22</v>
      </c>
      <c r="B21" s="11" t="str">
        <f t="shared" si="3"/>
        <v>1990</v>
      </c>
      <c r="C21" s="5">
        <v>0.092</v>
      </c>
      <c r="D21" s="5" t="s">
        <v>42</v>
      </c>
      <c r="E21" s="8" t="str">
        <f t="shared" ref="E21:E22" si="10">C21</f>
        <v>0.092</v>
      </c>
      <c r="F21" s="5" t="s">
        <v>43</v>
      </c>
      <c r="J21" s="5">
        <v>120.0</v>
      </c>
      <c r="K21" s="4">
        <v>1990.0</v>
      </c>
      <c r="L21">
        <v>0.24959935897435898</v>
      </c>
      <c r="M21" s="10" t="str">
        <f t="shared" si="7"/>
        <v>0.2503242522</v>
      </c>
      <c r="N21" t="str">
        <f t="shared" si="8"/>
        <v>120</v>
      </c>
      <c r="O21" t="str">
        <f t="shared" si="9"/>
        <v>-0.0007248931895</v>
      </c>
    </row>
    <row r="22">
      <c r="A22" s="3" t="s">
        <v>22</v>
      </c>
      <c r="B22" s="11" t="str">
        <f t="shared" si="3"/>
        <v>2010</v>
      </c>
      <c r="C22" s="5">
        <v>0.874</v>
      </c>
      <c r="D22" s="5" t="s">
        <v>42</v>
      </c>
      <c r="E22" s="8" t="str">
        <f t="shared" si="10"/>
        <v>0.874</v>
      </c>
      <c r="F22" s="5" t="s">
        <v>44</v>
      </c>
      <c r="J22" s="5">
        <v>180.0</v>
      </c>
      <c r="K22" s="4">
        <v>2010.0</v>
      </c>
      <c r="L22">
        <v>0.14031684448755255</v>
      </c>
      <c r="M22" s="10" t="str">
        <f t="shared" si="7"/>
        <v>0.03997818452</v>
      </c>
      <c r="N22" t="str">
        <f t="shared" si="8"/>
        <v>180</v>
      </c>
      <c r="O22" t="str">
        <f t="shared" si="9"/>
        <v>0.10033866</v>
      </c>
    </row>
    <row r="23">
      <c r="M23" s="5">
        <v>0.03997818452</v>
      </c>
    </row>
    <row r="24">
      <c r="J24" s="5" t="s">
        <v>45</v>
      </c>
      <c r="K24" s="5" t="s">
        <v>19</v>
      </c>
      <c r="L24" s="5" t="s">
        <v>40</v>
      </c>
      <c r="M24" s="5" t="s">
        <v>41</v>
      </c>
      <c r="N24" s="5" t="s">
        <v>45</v>
      </c>
      <c r="O24" s="5" t="s">
        <v>33</v>
      </c>
      <c r="Q24" s="5" t="s">
        <v>24</v>
      </c>
    </row>
    <row r="25">
      <c r="J25" t="str">
        <f t="shared" ref="J25:J26" si="11">K25-1950</f>
        <v>25</v>
      </c>
      <c r="K25" s="5">
        <v>1975.0</v>
      </c>
      <c r="L25" s="5">
        <v>0.319447</v>
      </c>
      <c r="M25" s="5" t="str">
        <f t="shared" ref="M25:M26" si="12"> 0.8918+(0.30361-0.8918)/(1+(J25/46.1196)^91.5954)</f>
        <v>0.30361</v>
      </c>
      <c r="N25" s="5" t="str">
        <f t="shared" ref="N25:N29" si="13">J25</f>
        <v>25</v>
      </c>
      <c r="O25" s="5" t="str">
        <f t="shared" ref="O25:O29" si="14">L25-M25</f>
        <v>0.015837</v>
      </c>
      <c r="Q25" s="5">
        <v>1920.0</v>
      </c>
      <c r="R25">
        <v>0.14253521126760563</v>
      </c>
    </row>
    <row r="26">
      <c r="J26" t="str">
        <f t="shared" si="11"/>
        <v>45</v>
      </c>
      <c r="K26" s="5">
        <v>1995.0</v>
      </c>
      <c r="L26" s="5">
        <v>0.35964</v>
      </c>
      <c r="M26" s="5" t="str">
        <f t="shared" si="12"/>
        <v>0.3596425955</v>
      </c>
      <c r="N26" s="5" t="str">
        <f t="shared" si="13"/>
        <v>45</v>
      </c>
      <c r="O26" s="5" t="str">
        <f t="shared" si="14"/>
        <v>-0.000002595459347</v>
      </c>
      <c r="Q26" s="5">
        <v>1970.0</v>
      </c>
      <c r="R26" s="14">
        <v>0.725</v>
      </c>
    </row>
    <row r="27">
      <c r="C27" s="15"/>
      <c r="K27" s="5"/>
      <c r="L27" s="5"/>
      <c r="M27" s="5"/>
      <c r="N27" s="5" t="str">
        <f t="shared" si="13"/>
        <v/>
      </c>
      <c r="O27" s="5" t="str">
        <f t="shared" si="14"/>
        <v>0</v>
      </c>
      <c r="Q27" s="5">
        <v>1990.0</v>
      </c>
      <c r="R27">
        <v>1.8400319188884717</v>
      </c>
    </row>
    <row r="28">
      <c r="C28" s="15"/>
      <c r="J28" t="str">
        <f>K28-1950</f>
        <v>47</v>
      </c>
      <c r="K28" s="5">
        <v>1997.0</v>
      </c>
      <c r="L28" s="5" t="str">
        <f>219000000/272600000</f>
        <v>0.8033749083</v>
      </c>
      <c r="M28" s="5" t="str">
        <f t="shared" ref="M28:M29" si="15"> 0.8918+(0.30361-0.8918)/(1+(J28/46.1196)^91.5954)</f>
        <v>0.8033785487</v>
      </c>
      <c r="N28" s="5" t="str">
        <f t="shared" si="13"/>
        <v>47</v>
      </c>
      <c r="O28" s="5" t="str">
        <f t="shared" si="14"/>
        <v>-0.000003640400944</v>
      </c>
      <c r="Q28" s="5">
        <v>2010.0</v>
      </c>
      <c r="R28">
        <v>0.85</v>
      </c>
    </row>
    <row r="29">
      <c r="C29" s="15"/>
      <c r="J29" s="5">
        <v>100.0</v>
      </c>
      <c r="K29" s="5">
        <v>1960.0</v>
      </c>
      <c r="L29" t="str">
        <f>52000000/180700000</f>
        <v>0.2877697842</v>
      </c>
      <c r="M29" s="5" t="str">
        <f t="shared" si="15"/>
        <v>0.8918</v>
      </c>
      <c r="N29" s="5" t="str">
        <f t="shared" si="13"/>
        <v>100</v>
      </c>
      <c r="O29" s="5" t="str">
        <f t="shared" si="14"/>
        <v>-0.6040302158</v>
      </c>
      <c r="Q29" s="5">
        <v>2012.0</v>
      </c>
      <c r="R29" s="5">
        <v>0.92</v>
      </c>
      <c r="W29" s="5">
        <v>2.0</v>
      </c>
    </row>
    <row r="30">
      <c r="C30" s="15"/>
      <c r="K30" s="5"/>
      <c r="M30" s="5">
        <v>0.8917413643</v>
      </c>
      <c r="Q30" s="5">
        <v>2011.0</v>
      </c>
      <c r="R30" s="5">
        <v>0.93</v>
      </c>
    </row>
    <row r="31">
      <c r="J31" s="5" t="s">
        <v>46</v>
      </c>
      <c r="K31" s="16" t="s">
        <v>22</v>
      </c>
      <c r="L31" s="17" t="s">
        <v>40</v>
      </c>
      <c r="M31" s="5" t="s">
        <v>41</v>
      </c>
      <c r="N31" s="5" t="s">
        <v>46</v>
      </c>
      <c r="O31" s="5" t="s">
        <v>33</v>
      </c>
      <c r="Q31" s="5">
        <v>2001.0</v>
      </c>
      <c r="R31" s="5">
        <v>0.96</v>
      </c>
    </row>
    <row r="32">
      <c r="J32" t="str">
        <f t="shared" ref="J32:J33" si="16">K32-1990</f>
        <v>5</v>
      </c>
      <c r="K32" s="15">
        <v>1995.0</v>
      </c>
      <c r="L32" s="15">
        <v>0.092</v>
      </c>
      <c r="M32" s="10" t="str">
        <f t="shared" ref="M32:M33" si="17"> 1.03816 - 1.03816/(1+(J32/12.9538)^2.44808)</f>
        <v>0.09201427583</v>
      </c>
      <c r="N32" t="str">
        <f t="shared" ref="N32:N36" si="18">J32</f>
        <v>5</v>
      </c>
      <c r="O32" t="str">
        <f t="shared" ref="O32:O36" si="19">M32-L32</f>
        <v>0.00001427583482</v>
      </c>
      <c r="Q32" s="5">
        <v>2009.0</v>
      </c>
      <c r="R32" s="5">
        <v>0.92</v>
      </c>
    </row>
    <row r="33">
      <c r="J33" t="str">
        <f t="shared" si="16"/>
        <v>24</v>
      </c>
      <c r="K33" s="15">
        <v>2014.0</v>
      </c>
      <c r="L33" s="15">
        <v>0.874</v>
      </c>
      <c r="M33" s="10" t="str">
        <f t="shared" si="17"/>
        <v>0.8502618644</v>
      </c>
      <c r="N33" t="str">
        <f t="shared" si="18"/>
        <v>24</v>
      </c>
      <c r="O33" t="str">
        <f t="shared" si="19"/>
        <v>-0.02373813559</v>
      </c>
    </row>
    <row r="34">
      <c r="K34" s="15"/>
      <c r="L34" s="15"/>
      <c r="M34" s="10"/>
      <c r="N34" t="str">
        <f t="shared" si="18"/>
        <v/>
      </c>
      <c r="O34" t="str">
        <f t="shared" si="19"/>
        <v>0</v>
      </c>
    </row>
    <row r="35">
      <c r="J35" t="str">
        <f>K35-1990</f>
        <v>22</v>
      </c>
      <c r="K35" s="15">
        <v>2012.0</v>
      </c>
      <c r="L35" s="15">
        <v>0.83</v>
      </c>
      <c r="M35" s="10" t="str">
        <f t="shared" ref="M35:M36" si="20"> 1.03816 - 1.03816/(1+(J35/12.9538)^2.44808)</f>
        <v>0.8152336974</v>
      </c>
      <c r="N35" t="str">
        <f t="shared" si="18"/>
        <v>22</v>
      </c>
      <c r="O35" t="str">
        <f t="shared" si="19"/>
        <v>-0.01476630263</v>
      </c>
    </row>
    <row r="36">
      <c r="J36" s="5">
        <v>60.0</v>
      </c>
      <c r="K36" s="15">
        <v>2010.0</v>
      </c>
      <c r="L36" s="15">
        <v>0.76</v>
      </c>
      <c r="M36" s="10" t="str">
        <f t="shared" si="20"/>
        <v>1.014370923</v>
      </c>
      <c r="N36" t="str">
        <f t="shared" si="18"/>
        <v>60</v>
      </c>
      <c r="O36" t="str">
        <f t="shared" si="19"/>
        <v>0.2543709234</v>
      </c>
    </row>
    <row r="37">
      <c r="M37" s="5">
        <v>0.416560189</v>
      </c>
    </row>
    <row r="38">
      <c r="J38" s="5" t="s">
        <v>47</v>
      </c>
      <c r="K38" s="5" t="s">
        <v>24</v>
      </c>
      <c r="L38" s="5" t="s">
        <v>40</v>
      </c>
      <c r="M38" s="5" t="s">
        <v>41</v>
      </c>
      <c r="N38" s="5" t="s">
        <v>47</v>
      </c>
      <c r="O38" s="5" t="s">
        <v>33</v>
      </c>
    </row>
    <row r="39">
      <c r="J39" t="str">
        <f t="shared" ref="J39:J40" si="21">K39-1920</f>
        <v>0</v>
      </c>
      <c r="K39" s="5">
        <v>1920.0</v>
      </c>
      <c r="L39">
        <v>0.14253521126760563</v>
      </c>
      <c r="M39" s="10" t="str">
        <f t="shared" ref="M39:M41" si="22"> 2.69323 + (0.14253-2.69323)/(1+(J39/61.9931)^5.66324)</f>
        <v>0.14253</v>
      </c>
      <c r="N39" t="str">
        <f t="shared" ref="N39:N41" si="23">J39</f>
        <v>0</v>
      </c>
      <c r="O39" t="str">
        <f t="shared" ref="O39:O41" si="24">L39-M39</f>
        <v>0.000005211267606</v>
      </c>
    </row>
    <row r="40">
      <c r="J40" t="str">
        <f t="shared" si="21"/>
        <v>50</v>
      </c>
      <c r="K40" s="5">
        <v>1970.0</v>
      </c>
      <c r="L40" s="14">
        <v>0.725</v>
      </c>
      <c r="M40" s="10" t="str">
        <f t="shared" si="22"/>
        <v>0.7250068265</v>
      </c>
      <c r="N40" t="str">
        <f t="shared" si="23"/>
        <v>50</v>
      </c>
      <c r="O40" t="str">
        <f t="shared" si="24"/>
        <v>-0.000006826461304</v>
      </c>
    </row>
    <row r="41">
      <c r="J41" s="5">
        <v>70.0</v>
      </c>
      <c r="K41" s="5">
        <v>1990.0</v>
      </c>
      <c r="L41">
        <v>1.8400319188884717</v>
      </c>
      <c r="M41" s="10" t="str">
        <f t="shared" si="22"/>
        <v>1.840034591</v>
      </c>
      <c r="N41" t="str">
        <f t="shared" si="23"/>
        <v>70</v>
      </c>
      <c r="O41" t="str">
        <f t="shared" si="24"/>
        <v>-0.000002672321688</v>
      </c>
    </row>
    <row r="42">
      <c r="J42" s="5"/>
      <c r="K42" s="5"/>
      <c r="L42" s="5"/>
      <c r="M42" s="5">
        <v>2.233407284</v>
      </c>
      <c r="N42" s="5"/>
      <c r="O42" s="5"/>
    </row>
    <row r="43">
      <c r="J43" s="5" t="s">
        <v>47</v>
      </c>
      <c r="K43" s="5" t="s">
        <v>24</v>
      </c>
      <c r="L43" s="5" t="s">
        <v>40</v>
      </c>
      <c r="M43" s="5" t="s">
        <v>41</v>
      </c>
      <c r="N43" s="5" t="s">
        <v>47</v>
      </c>
      <c r="O43" s="5" t="s">
        <v>33</v>
      </c>
    </row>
    <row r="44">
      <c r="J44" t="str">
        <f t="shared" ref="J44:J48" si="25">K44-1920</f>
        <v>70</v>
      </c>
      <c r="K44" s="5">
        <v>1990.0</v>
      </c>
      <c r="L44">
        <v>1.8400319188884717</v>
      </c>
      <c r="M44" s="10" t="str">
        <f t="shared" ref="M44:M49" si="26">0.89776 + (138.735-0.89776)/(1+(J44/53.7614)^18.8628)</f>
        <v>1.840066802</v>
      </c>
      <c r="N44" t="str">
        <f t="shared" ref="N44:N49" si="27">J44</f>
        <v>70</v>
      </c>
      <c r="O44" t="str">
        <f t="shared" ref="O44:O49" si="28">L44-M44</f>
        <v>-0.00003488340467</v>
      </c>
    </row>
    <row r="45">
      <c r="J45" t="str">
        <f t="shared" si="25"/>
        <v>90</v>
      </c>
      <c r="K45" s="5">
        <v>2010.0</v>
      </c>
      <c r="L45">
        <v>0.85</v>
      </c>
      <c r="M45" s="10" t="str">
        <f t="shared" si="26"/>
        <v>0.9060465759</v>
      </c>
      <c r="N45" t="str">
        <f t="shared" si="27"/>
        <v>90</v>
      </c>
      <c r="O45" t="str">
        <f t="shared" si="28"/>
        <v>-0.0560465759</v>
      </c>
    </row>
    <row r="46">
      <c r="J46" t="str">
        <f t="shared" si="25"/>
        <v>92</v>
      </c>
      <c r="K46" s="5">
        <v>2012.0</v>
      </c>
      <c r="L46" s="5">
        <v>0.92</v>
      </c>
      <c r="M46" s="10" t="str">
        <f t="shared" si="26"/>
        <v>0.9032343499</v>
      </c>
      <c r="N46" t="str">
        <f t="shared" si="27"/>
        <v>92</v>
      </c>
      <c r="O46" t="str">
        <f t="shared" si="28"/>
        <v>0.01676565012</v>
      </c>
    </row>
    <row r="47">
      <c r="J47" t="str">
        <f t="shared" si="25"/>
        <v>91</v>
      </c>
      <c r="K47" s="5">
        <v>2011.0</v>
      </c>
      <c r="L47" s="5">
        <v>0.93</v>
      </c>
      <c r="M47" s="10" t="str">
        <f t="shared" si="26"/>
        <v>0.9044875922</v>
      </c>
      <c r="N47" t="str">
        <f t="shared" si="27"/>
        <v>91</v>
      </c>
      <c r="O47" t="str">
        <f t="shared" si="28"/>
        <v>0.02551240782</v>
      </c>
    </row>
    <row r="48">
      <c r="J48" t="str">
        <f t="shared" si="25"/>
        <v>81</v>
      </c>
      <c r="K48" s="5">
        <v>2001.0</v>
      </c>
      <c r="L48" s="5">
        <v>0.96</v>
      </c>
      <c r="M48" s="10" t="str">
        <f t="shared" si="26"/>
        <v>0.9582000953</v>
      </c>
      <c r="N48" t="str">
        <f t="shared" si="27"/>
        <v>81</v>
      </c>
      <c r="O48" t="str">
        <f t="shared" si="28"/>
        <v>0.001799904704</v>
      </c>
    </row>
    <row r="49">
      <c r="J49" s="5">
        <v>130.0</v>
      </c>
      <c r="K49" s="5">
        <v>2009.0</v>
      </c>
      <c r="L49" s="5">
        <v>0.92</v>
      </c>
      <c r="M49" s="10" t="str">
        <f t="shared" si="26"/>
        <v>0.8977680537</v>
      </c>
      <c r="N49" t="str">
        <f t="shared" si="27"/>
        <v>130</v>
      </c>
      <c r="O49" t="str">
        <f t="shared" si="28"/>
        <v>0.02223194629</v>
      </c>
    </row>
    <row r="52">
      <c r="J52">
        <v>65.0</v>
      </c>
      <c r="K52" s="14">
        <v>2015.0</v>
      </c>
      <c r="L52" s="14">
        <v>0.8918</v>
      </c>
      <c r="M52" s="14">
        <v>0.8917999999999868</v>
      </c>
      <c r="O52" s="18" t="s">
        <v>48</v>
      </c>
      <c r="P52" s="18" t="s">
        <v>49</v>
      </c>
    </row>
    <row r="53">
      <c r="J53">
        <v>25.0</v>
      </c>
      <c r="K53">
        <v>2015.0</v>
      </c>
      <c r="L53">
        <v>0.84</v>
      </c>
      <c r="M53" s="14">
        <v>0.8651538057042804</v>
      </c>
      <c r="O53" s="19" t="s">
        <v>7</v>
      </c>
      <c r="P53" s="19">
        <v>0.03997818452</v>
      </c>
    </row>
    <row r="54">
      <c r="O54" s="19" t="s">
        <v>19</v>
      </c>
      <c r="P54" s="19">
        <v>0.8918</v>
      </c>
    </row>
    <row r="55">
      <c r="J55" s="5"/>
      <c r="K55" s="20"/>
      <c r="O55" s="19" t="s">
        <v>22</v>
      </c>
      <c r="P55" s="19">
        <v>1.0</v>
      </c>
    </row>
    <row r="56">
      <c r="O56" s="19" t="s">
        <v>24</v>
      </c>
      <c r="P56" s="21">
        <v>0.8977680537</v>
      </c>
    </row>
  </sheetData>
  <conditionalFormatting sqref="A1:F1">
    <cfRule type="notContainsBlanks" dxfId="0" priority="1">
      <formula>LEN(TRIM(A1))&gt;0</formula>
    </cfRule>
  </conditionalFormatting>
  <hyperlinks>
    <hyperlink r:id="rId1" ref="F3"/>
    <hyperlink r:id="rId2" ref="F5"/>
    <hyperlink r:id="rId3" ref="F6"/>
    <hyperlink r:id="rId4" ref="F7"/>
    <hyperlink r:id="rId5" ref="F9"/>
    <hyperlink r:id="rId6" ref="F10"/>
    <hyperlink r:id="rId7" ref="F11"/>
    <hyperlink r:id="rId8" ref="F12"/>
    <hyperlink r:id="rId9" location="1975" ref="F15"/>
    <hyperlink r:id="rId10" location="1995" ref="F16"/>
  </hyperlinks>
  <drawing r:id="rId11"/>
</worksheet>
</file>