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105" windowWidth="23040" windowHeight="9645"/>
  </bookViews>
  <sheets>
    <sheet name="公司公告" sheetId="1" r:id="rId1"/>
  </sheets>
  <calcPr calcId="145621"/>
</workbook>
</file>

<file path=xl/calcChain.xml><?xml version="1.0" encoding="utf-8"?>
<calcChain xmlns="http://schemas.openxmlformats.org/spreadsheetml/2006/main">
  <c r="C1877" i="1" l="1"/>
  <c r="C1876" i="1"/>
  <c r="C1875" i="1"/>
  <c r="C1874" i="1"/>
  <c r="C1873" i="1"/>
  <c r="C1872" i="1"/>
  <c r="C1871" i="1"/>
  <c r="C1870" i="1"/>
  <c r="C1869" i="1"/>
  <c r="C1868" i="1"/>
  <c r="C1867" i="1"/>
  <c r="C1866" i="1"/>
  <c r="C1865" i="1"/>
  <c r="C1864" i="1"/>
  <c r="C1863" i="1"/>
  <c r="C1862" i="1"/>
  <c r="C1861" i="1"/>
  <c r="C1860" i="1"/>
  <c r="C1859" i="1"/>
  <c r="C1858" i="1"/>
  <c r="C1857" i="1"/>
  <c r="C1856" i="1"/>
  <c r="C1855" i="1"/>
  <c r="C1854" i="1"/>
  <c r="C1853" i="1"/>
  <c r="C1852" i="1"/>
  <c r="C1851" i="1"/>
  <c r="C1850" i="1"/>
  <c r="C1849" i="1"/>
  <c r="C1848" i="1"/>
  <c r="C1847" i="1"/>
  <c r="C1846" i="1"/>
  <c r="C1845" i="1"/>
  <c r="C1844" i="1"/>
  <c r="C1843" i="1"/>
  <c r="C1842" i="1"/>
  <c r="C1841" i="1"/>
  <c r="C1840" i="1"/>
  <c r="C1839" i="1"/>
  <c r="C1838" i="1"/>
  <c r="C1837" i="1"/>
  <c r="C1836" i="1"/>
  <c r="C1835" i="1"/>
  <c r="C1834" i="1"/>
  <c r="C1833" i="1"/>
  <c r="C1832" i="1"/>
  <c r="C1831" i="1"/>
  <c r="C1830" i="1"/>
  <c r="C1829" i="1"/>
  <c r="C1828" i="1"/>
  <c r="C1827" i="1"/>
  <c r="C1826" i="1"/>
  <c r="C1825" i="1"/>
  <c r="C1824" i="1"/>
  <c r="C1823" i="1"/>
  <c r="C1822" i="1"/>
  <c r="C1821" i="1"/>
  <c r="C1820" i="1"/>
  <c r="C1819" i="1"/>
  <c r="C1818" i="1"/>
  <c r="C1817" i="1"/>
  <c r="C1816" i="1"/>
  <c r="C1815" i="1"/>
  <c r="C1814" i="1"/>
  <c r="C1813" i="1"/>
  <c r="C1812" i="1"/>
  <c r="C1811" i="1"/>
  <c r="C1810" i="1"/>
  <c r="C1809" i="1"/>
  <c r="C1808" i="1"/>
  <c r="C1807" i="1"/>
  <c r="C1806" i="1"/>
  <c r="C1805" i="1"/>
  <c r="C1804" i="1"/>
  <c r="C1803" i="1"/>
  <c r="C1802" i="1"/>
  <c r="C1801" i="1"/>
  <c r="C1800" i="1"/>
  <c r="C1799" i="1"/>
  <c r="C1798" i="1"/>
  <c r="C1797" i="1"/>
  <c r="C1796" i="1"/>
  <c r="C1795" i="1"/>
  <c r="C1794" i="1"/>
  <c r="C1793" i="1"/>
  <c r="C1792" i="1"/>
  <c r="C1791" i="1"/>
  <c r="C1790" i="1"/>
  <c r="C1789" i="1"/>
  <c r="C1788" i="1"/>
  <c r="C1787" i="1"/>
  <c r="C1786" i="1"/>
  <c r="C1785" i="1"/>
  <c r="C1784" i="1"/>
  <c r="C1783" i="1"/>
  <c r="C1782" i="1"/>
  <c r="C1781" i="1"/>
  <c r="C1780" i="1"/>
  <c r="C1779" i="1"/>
  <c r="C1778" i="1"/>
  <c r="C1777" i="1"/>
  <c r="C1776" i="1"/>
  <c r="C1775" i="1"/>
  <c r="C1774" i="1"/>
  <c r="C1773" i="1"/>
  <c r="C1772" i="1"/>
  <c r="C1771" i="1"/>
  <c r="C1770" i="1"/>
  <c r="C1769" i="1"/>
  <c r="C1768" i="1"/>
  <c r="C1767" i="1"/>
  <c r="C1766" i="1"/>
  <c r="C1765" i="1"/>
  <c r="C1764" i="1"/>
  <c r="C1763" i="1"/>
  <c r="C1762" i="1"/>
  <c r="C1761" i="1"/>
  <c r="C1760" i="1"/>
  <c r="C1759" i="1"/>
  <c r="C1758" i="1"/>
  <c r="C1757" i="1"/>
  <c r="C1756" i="1"/>
  <c r="C1755" i="1"/>
  <c r="C1754" i="1"/>
  <c r="C1753" i="1"/>
  <c r="C1752" i="1"/>
  <c r="C1751" i="1"/>
  <c r="C1750" i="1"/>
  <c r="C1749" i="1"/>
  <c r="C1748" i="1"/>
  <c r="C1747" i="1"/>
  <c r="C1746" i="1"/>
  <c r="C1745" i="1"/>
  <c r="C1744" i="1"/>
  <c r="C1743" i="1"/>
  <c r="C1742" i="1"/>
  <c r="C1741" i="1"/>
  <c r="C1740" i="1"/>
  <c r="C1739" i="1"/>
  <c r="C1738" i="1"/>
  <c r="C1737" i="1"/>
  <c r="C1736" i="1"/>
  <c r="C1735" i="1"/>
  <c r="C1734" i="1"/>
  <c r="C1733" i="1"/>
  <c r="C1732" i="1"/>
  <c r="C1731" i="1"/>
  <c r="C1730" i="1"/>
  <c r="C1729" i="1"/>
  <c r="C1728" i="1"/>
  <c r="C1727" i="1"/>
  <c r="C1726" i="1"/>
  <c r="C1725" i="1"/>
  <c r="C1724" i="1"/>
  <c r="C1723" i="1"/>
  <c r="C1722" i="1"/>
  <c r="C1721" i="1"/>
  <c r="C1720" i="1"/>
  <c r="C1719" i="1"/>
  <c r="C1718" i="1"/>
  <c r="C1717" i="1"/>
  <c r="C1716" i="1"/>
  <c r="C1715" i="1"/>
  <c r="C1714" i="1"/>
  <c r="C1713" i="1"/>
  <c r="C1712" i="1"/>
  <c r="C1711" i="1"/>
  <c r="C1710" i="1"/>
  <c r="C1709" i="1"/>
  <c r="C1708" i="1"/>
  <c r="C1707" i="1"/>
  <c r="C1706" i="1"/>
  <c r="C1705" i="1"/>
  <c r="C1704" i="1"/>
  <c r="C1703" i="1"/>
  <c r="C1702" i="1"/>
  <c r="C1701" i="1"/>
  <c r="C1700" i="1"/>
  <c r="C1699" i="1"/>
  <c r="C1698" i="1"/>
  <c r="C1697" i="1"/>
  <c r="C1696" i="1"/>
  <c r="C1695" i="1"/>
  <c r="C1694" i="1"/>
  <c r="C1693" i="1"/>
  <c r="C1692" i="1"/>
  <c r="C1691" i="1"/>
  <c r="C1690" i="1"/>
  <c r="C1689" i="1"/>
  <c r="C1688" i="1"/>
  <c r="C1687" i="1"/>
  <c r="C1686" i="1"/>
  <c r="C1685" i="1"/>
  <c r="C1684" i="1"/>
  <c r="C1683" i="1"/>
  <c r="C1682" i="1"/>
  <c r="C1681" i="1"/>
  <c r="C1680" i="1"/>
  <c r="C1679" i="1"/>
  <c r="C1678" i="1"/>
  <c r="C1677" i="1"/>
  <c r="C1676" i="1"/>
  <c r="C1675" i="1"/>
  <c r="C1674" i="1"/>
  <c r="C1673" i="1"/>
  <c r="C1672" i="1"/>
  <c r="C1671" i="1"/>
  <c r="C1670" i="1"/>
  <c r="C1669" i="1"/>
  <c r="C1668" i="1"/>
  <c r="C1667" i="1"/>
  <c r="C1666" i="1"/>
  <c r="C1665" i="1"/>
  <c r="C1664" i="1"/>
  <c r="C1663" i="1"/>
  <c r="C1662" i="1"/>
  <c r="C1661" i="1"/>
  <c r="C1660" i="1"/>
  <c r="C1659" i="1"/>
  <c r="C1658" i="1"/>
  <c r="C1657" i="1"/>
  <c r="C1656" i="1"/>
  <c r="C1655" i="1"/>
  <c r="C1654" i="1"/>
  <c r="C1653" i="1"/>
  <c r="C1652" i="1"/>
  <c r="C1651" i="1"/>
  <c r="C1650" i="1"/>
  <c r="C1649" i="1"/>
  <c r="C1648" i="1"/>
  <c r="C1647" i="1"/>
  <c r="C1646" i="1"/>
  <c r="C1645" i="1"/>
  <c r="C1644" i="1"/>
  <c r="C1643" i="1"/>
  <c r="C1642" i="1"/>
  <c r="C1641" i="1"/>
  <c r="C1640" i="1"/>
  <c r="C1639" i="1"/>
  <c r="C1638" i="1"/>
  <c r="C1637" i="1"/>
  <c r="C1636" i="1"/>
  <c r="C1635" i="1"/>
  <c r="C1634" i="1"/>
  <c r="C1633" i="1"/>
  <c r="C1632" i="1"/>
  <c r="C1631" i="1"/>
  <c r="C1630" i="1"/>
  <c r="C1629" i="1"/>
  <c r="C1628" i="1"/>
  <c r="C1627" i="1"/>
  <c r="C1626" i="1"/>
  <c r="C1625" i="1"/>
  <c r="C1624" i="1"/>
  <c r="C1623" i="1"/>
  <c r="C1622" i="1"/>
  <c r="C1621" i="1"/>
  <c r="C1620" i="1"/>
  <c r="C1619" i="1"/>
  <c r="C1618" i="1"/>
  <c r="C1617" i="1"/>
  <c r="C1616" i="1"/>
  <c r="C1615" i="1"/>
  <c r="C1614" i="1"/>
  <c r="C1613" i="1"/>
  <c r="C1612" i="1"/>
  <c r="C1611" i="1"/>
  <c r="C1610" i="1"/>
  <c r="C1609" i="1"/>
  <c r="C1608" i="1"/>
  <c r="C1607" i="1"/>
  <c r="C1606" i="1"/>
  <c r="C1605" i="1"/>
  <c r="C1604" i="1"/>
  <c r="C1603" i="1"/>
  <c r="C1602" i="1"/>
  <c r="C1601" i="1"/>
  <c r="C1600" i="1"/>
  <c r="C1599" i="1"/>
  <c r="C1598" i="1"/>
  <c r="C1597" i="1"/>
  <c r="C1596" i="1"/>
  <c r="C1595" i="1"/>
  <c r="C1594" i="1"/>
  <c r="C1593" i="1"/>
  <c r="C1592" i="1"/>
  <c r="C1591" i="1"/>
  <c r="C1590" i="1"/>
  <c r="C1589" i="1"/>
  <c r="C1588" i="1"/>
  <c r="C1587" i="1"/>
  <c r="C1586" i="1"/>
  <c r="C1585" i="1"/>
  <c r="C1584" i="1"/>
  <c r="C1583" i="1"/>
  <c r="C1582" i="1"/>
  <c r="C1581" i="1"/>
  <c r="C1580" i="1"/>
  <c r="C1579" i="1"/>
  <c r="C1578" i="1"/>
  <c r="C1577" i="1"/>
  <c r="C1576" i="1"/>
  <c r="C1575" i="1"/>
  <c r="C1574" i="1"/>
  <c r="C1573" i="1"/>
  <c r="C1572" i="1"/>
  <c r="C1571" i="1"/>
  <c r="C1570" i="1"/>
  <c r="C1569" i="1"/>
  <c r="C1568" i="1"/>
  <c r="C1567" i="1"/>
  <c r="C1566" i="1"/>
  <c r="C1565" i="1"/>
  <c r="C1564" i="1"/>
  <c r="C1563" i="1"/>
  <c r="C1562" i="1"/>
  <c r="C1561" i="1"/>
  <c r="C1560" i="1"/>
  <c r="C1559" i="1"/>
  <c r="C1558" i="1"/>
  <c r="C1557" i="1"/>
  <c r="C1556" i="1"/>
  <c r="C1555" i="1"/>
  <c r="C1554" i="1"/>
  <c r="C1553" i="1"/>
  <c r="C1552" i="1"/>
  <c r="C1551" i="1"/>
  <c r="C1550" i="1"/>
  <c r="C1549" i="1"/>
  <c r="C1548" i="1"/>
  <c r="C1547" i="1"/>
  <c r="C1546" i="1"/>
  <c r="C1545" i="1"/>
  <c r="C1544" i="1"/>
  <c r="C1543" i="1"/>
  <c r="C1542" i="1"/>
  <c r="C1541" i="1"/>
  <c r="C1540" i="1"/>
  <c r="C1539" i="1"/>
  <c r="C1538" i="1"/>
  <c r="C1537" i="1"/>
  <c r="C1536" i="1"/>
  <c r="C1535" i="1"/>
  <c r="C1534" i="1"/>
  <c r="C1533" i="1"/>
  <c r="C1532" i="1"/>
  <c r="C1531" i="1"/>
  <c r="C1530" i="1"/>
  <c r="C1529" i="1"/>
  <c r="C1528" i="1"/>
  <c r="C1527" i="1"/>
  <c r="C1526" i="1"/>
  <c r="C1525" i="1"/>
  <c r="C1524" i="1"/>
  <c r="C1523" i="1"/>
  <c r="C1522" i="1"/>
  <c r="C1521" i="1"/>
  <c r="C1520" i="1"/>
  <c r="C1519" i="1"/>
  <c r="C1518" i="1"/>
  <c r="C1517" i="1"/>
  <c r="C1516" i="1"/>
  <c r="C1515" i="1"/>
  <c r="C1514" i="1"/>
  <c r="C1513" i="1"/>
  <c r="C1512" i="1"/>
  <c r="C1511" i="1"/>
  <c r="C1510" i="1"/>
  <c r="C1509" i="1"/>
  <c r="C1508" i="1"/>
  <c r="C1507" i="1"/>
  <c r="C1506" i="1"/>
  <c r="C1505" i="1"/>
  <c r="C1504" i="1"/>
  <c r="C1503" i="1"/>
  <c r="C1502" i="1"/>
  <c r="C1501" i="1"/>
  <c r="C1500" i="1"/>
  <c r="C1499" i="1"/>
  <c r="C1498" i="1"/>
  <c r="C1497" i="1"/>
  <c r="C1496" i="1"/>
  <c r="C1495" i="1"/>
  <c r="C1494" i="1"/>
  <c r="C1493" i="1"/>
  <c r="C1492" i="1"/>
  <c r="C1491" i="1"/>
  <c r="C1490" i="1"/>
  <c r="C1489" i="1"/>
  <c r="C1488" i="1"/>
  <c r="C1487" i="1"/>
  <c r="C1486" i="1"/>
  <c r="C1485" i="1"/>
  <c r="C1484" i="1"/>
  <c r="C1483" i="1"/>
  <c r="C1482" i="1"/>
  <c r="C1481" i="1"/>
  <c r="C1480" i="1"/>
  <c r="C1479" i="1"/>
  <c r="C1478" i="1"/>
  <c r="C1477" i="1"/>
  <c r="C1476" i="1"/>
  <c r="C1475" i="1"/>
  <c r="C1474" i="1"/>
  <c r="C1473" i="1"/>
  <c r="C1472" i="1"/>
  <c r="C1471" i="1"/>
  <c r="C1470" i="1"/>
  <c r="C1469" i="1"/>
  <c r="C1468" i="1"/>
  <c r="C1467" i="1"/>
  <c r="C1466" i="1"/>
  <c r="C1465" i="1"/>
  <c r="C1464" i="1"/>
  <c r="C1463" i="1"/>
  <c r="C1462" i="1"/>
  <c r="C1461" i="1"/>
  <c r="C1460" i="1"/>
  <c r="C1459" i="1"/>
  <c r="C1458" i="1"/>
  <c r="C1457" i="1"/>
  <c r="C1456" i="1"/>
  <c r="C1455" i="1"/>
  <c r="C1454" i="1"/>
  <c r="C1453" i="1"/>
  <c r="C1452" i="1"/>
  <c r="C1451" i="1"/>
  <c r="C1450" i="1"/>
  <c r="C1449" i="1"/>
  <c r="C1448" i="1"/>
  <c r="C1447" i="1"/>
  <c r="C1446" i="1"/>
  <c r="C1445" i="1"/>
  <c r="C1444" i="1"/>
  <c r="C1443" i="1"/>
  <c r="C1442" i="1"/>
  <c r="C1441" i="1"/>
  <c r="C1440" i="1"/>
  <c r="C1439" i="1"/>
  <c r="C1438" i="1"/>
  <c r="C1437" i="1"/>
  <c r="C1436" i="1"/>
  <c r="C1435" i="1"/>
  <c r="C1434" i="1"/>
  <c r="C1433" i="1"/>
  <c r="C1432" i="1"/>
  <c r="C1431" i="1"/>
  <c r="C1430" i="1"/>
  <c r="C1429" i="1"/>
  <c r="C1428" i="1"/>
  <c r="C1427" i="1"/>
  <c r="C1426" i="1"/>
  <c r="C1425" i="1"/>
  <c r="C1424" i="1"/>
  <c r="C1423" i="1"/>
  <c r="C1422" i="1"/>
  <c r="C1421" i="1"/>
  <c r="C1420" i="1"/>
  <c r="C1419" i="1"/>
  <c r="C1418" i="1"/>
  <c r="C1417" i="1"/>
  <c r="C1416" i="1"/>
  <c r="C1415" i="1"/>
  <c r="C1414" i="1"/>
  <c r="C1413" i="1"/>
  <c r="C1412" i="1"/>
  <c r="C1411" i="1"/>
  <c r="C1410" i="1"/>
  <c r="C1409" i="1"/>
  <c r="C1408" i="1"/>
  <c r="C1407" i="1"/>
  <c r="C1406" i="1"/>
  <c r="C1405" i="1"/>
  <c r="C1404" i="1"/>
  <c r="C1403" i="1"/>
  <c r="C1402" i="1"/>
  <c r="C1401" i="1"/>
  <c r="C1400" i="1"/>
  <c r="C1399" i="1"/>
  <c r="C1398" i="1"/>
  <c r="C1397" i="1"/>
  <c r="C1396" i="1"/>
  <c r="C1395" i="1"/>
  <c r="C1394" i="1"/>
  <c r="C1393" i="1"/>
  <c r="C1392" i="1"/>
  <c r="C1391" i="1"/>
  <c r="C1390" i="1"/>
  <c r="C1389" i="1"/>
  <c r="C1388" i="1"/>
  <c r="C1387" i="1"/>
  <c r="C1386" i="1"/>
  <c r="C1385" i="1"/>
  <c r="C1384" i="1"/>
  <c r="C1383" i="1"/>
  <c r="C1382" i="1"/>
  <c r="C1381" i="1"/>
  <c r="C1380" i="1"/>
  <c r="C1379" i="1"/>
  <c r="C1378" i="1"/>
  <c r="C1377" i="1"/>
  <c r="C1376" i="1"/>
  <c r="C1375" i="1"/>
  <c r="C1374" i="1"/>
  <c r="C1373" i="1"/>
  <c r="C1372" i="1"/>
  <c r="C1371" i="1"/>
  <c r="C1370" i="1"/>
  <c r="C1369" i="1"/>
  <c r="C1368" i="1"/>
  <c r="C1367" i="1"/>
  <c r="C1366" i="1"/>
  <c r="C1365" i="1"/>
  <c r="C1364" i="1"/>
  <c r="C1363" i="1"/>
  <c r="C1362" i="1"/>
  <c r="C1361" i="1"/>
  <c r="C1360" i="1"/>
  <c r="C1359" i="1"/>
  <c r="C1358" i="1"/>
  <c r="C1357" i="1"/>
  <c r="C1356" i="1"/>
  <c r="C1355" i="1"/>
  <c r="C1354" i="1"/>
  <c r="C1353" i="1"/>
  <c r="C1352" i="1"/>
  <c r="C1351" i="1"/>
  <c r="C1350" i="1"/>
  <c r="C1349" i="1"/>
  <c r="C1348" i="1"/>
  <c r="C1347" i="1"/>
  <c r="C1346" i="1"/>
  <c r="C1345" i="1"/>
  <c r="C1344" i="1"/>
  <c r="C1343" i="1"/>
  <c r="C1342" i="1"/>
  <c r="C1341" i="1"/>
  <c r="C1340" i="1"/>
  <c r="C1339" i="1"/>
  <c r="C1338" i="1"/>
  <c r="C1337" i="1"/>
  <c r="C1336" i="1"/>
  <c r="C1335" i="1"/>
  <c r="C1334" i="1"/>
  <c r="C1333" i="1"/>
  <c r="C1332" i="1"/>
  <c r="C1331" i="1"/>
  <c r="C1330" i="1"/>
  <c r="C1329" i="1"/>
  <c r="C1328" i="1"/>
  <c r="C1327" i="1"/>
  <c r="C1326" i="1"/>
  <c r="C1325" i="1"/>
  <c r="C1324" i="1"/>
  <c r="C1323" i="1"/>
  <c r="C1322" i="1"/>
  <c r="C1321" i="1"/>
  <c r="C1320" i="1"/>
  <c r="C1319" i="1"/>
  <c r="C1318" i="1"/>
  <c r="C1317" i="1"/>
  <c r="C1316" i="1"/>
  <c r="C1315" i="1"/>
  <c r="C1314" i="1"/>
  <c r="C1313" i="1"/>
  <c r="C1312" i="1"/>
  <c r="C1311" i="1"/>
  <c r="C1310" i="1"/>
  <c r="C1309" i="1"/>
  <c r="C1308" i="1"/>
  <c r="C1307" i="1"/>
  <c r="C1306" i="1"/>
  <c r="C1305" i="1"/>
  <c r="C1304" i="1"/>
  <c r="C1303" i="1"/>
  <c r="C1302" i="1"/>
  <c r="C1301" i="1"/>
  <c r="C1300" i="1"/>
  <c r="C1299" i="1"/>
  <c r="C1298" i="1"/>
  <c r="C1297" i="1"/>
  <c r="C1296" i="1"/>
  <c r="C1295" i="1"/>
  <c r="C1294" i="1"/>
  <c r="C1293" i="1"/>
  <c r="C1292" i="1"/>
  <c r="C1291" i="1"/>
  <c r="C1290" i="1"/>
  <c r="C1289" i="1"/>
  <c r="C1288" i="1"/>
  <c r="C1287" i="1"/>
  <c r="C1286" i="1"/>
  <c r="C1285" i="1"/>
  <c r="C1284" i="1"/>
  <c r="C1283" i="1"/>
  <c r="C1282" i="1"/>
  <c r="C1281" i="1"/>
  <c r="C1280" i="1"/>
  <c r="C1279" i="1"/>
  <c r="C1278" i="1"/>
  <c r="C1277" i="1"/>
  <c r="C1276" i="1"/>
  <c r="C1275" i="1"/>
  <c r="C1274" i="1"/>
  <c r="C1273" i="1"/>
  <c r="C1272" i="1"/>
  <c r="C1271" i="1"/>
  <c r="C1270" i="1"/>
  <c r="C1269" i="1"/>
  <c r="C1268" i="1"/>
  <c r="C1267" i="1"/>
  <c r="C1266" i="1"/>
  <c r="C1265" i="1"/>
  <c r="C1264" i="1"/>
  <c r="C1263" i="1"/>
  <c r="C1262" i="1"/>
  <c r="C1261" i="1"/>
  <c r="C1260" i="1"/>
  <c r="C1259" i="1"/>
  <c r="C1258" i="1"/>
  <c r="C1257" i="1"/>
  <c r="C1256" i="1"/>
  <c r="C1255" i="1"/>
  <c r="C1254" i="1"/>
  <c r="C1253" i="1"/>
  <c r="C1252" i="1"/>
  <c r="C1251" i="1"/>
  <c r="C1250" i="1"/>
  <c r="C1249" i="1"/>
  <c r="C1248" i="1"/>
  <c r="C1247" i="1"/>
  <c r="C1246" i="1"/>
  <c r="C1245" i="1"/>
  <c r="C1244" i="1"/>
  <c r="C1243" i="1"/>
  <c r="C1242" i="1"/>
  <c r="C1241" i="1"/>
  <c r="C1240" i="1"/>
  <c r="C1239" i="1"/>
  <c r="C1238" i="1"/>
  <c r="C1237" i="1"/>
  <c r="C1236" i="1"/>
  <c r="C1235" i="1"/>
  <c r="C1234" i="1"/>
  <c r="C1233" i="1"/>
  <c r="C1232" i="1"/>
  <c r="C1231" i="1"/>
  <c r="C1230" i="1"/>
  <c r="C1229" i="1"/>
  <c r="C1228" i="1"/>
  <c r="C1227" i="1"/>
  <c r="C1226" i="1"/>
  <c r="C1225" i="1"/>
  <c r="C1224" i="1"/>
  <c r="C1223" i="1"/>
  <c r="C1222" i="1"/>
  <c r="C1221" i="1"/>
  <c r="C1220" i="1"/>
  <c r="C1219" i="1"/>
  <c r="C1218" i="1"/>
  <c r="C1217" i="1"/>
  <c r="C1216" i="1"/>
  <c r="C1215" i="1"/>
  <c r="C1214" i="1"/>
  <c r="C1213" i="1"/>
  <c r="C1212" i="1"/>
  <c r="C1211" i="1"/>
  <c r="C1210" i="1"/>
  <c r="C1209" i="1"/>
  <c r="C1208" i="1"/>
  <c r="C1207" i="1"/>
  <c r="C1206" i="1"/>
  <c r="C1205" i="1"/>
  <c r="C1204" i="1"/>
  <c r="C1203" i="1"/>
  <c r="C1202" i="1"/>
  <c r="C1201" i="1"/>
  <c r="C1200" i="1"/>
  <c r="C1199" i="1"/>
  <c r="C1198" i="1"/>
  <c r="C1197" i="1"/>
  <c r="C1196" i="1"/>
  <c r="C1195" i="1"/>
  <c r="C1194" i="1"/>
  <c r="C1193" i="1"/>
  <c r="C1192" i="1"/>
  <c r="C1191" i="1"/>
  <c r="C1190" i="1"/>
  <c r="C1189" i="1"/>
  <c r="C1188" i="1"/>
  <c r="C1187" i="1"/>
  <c r="C1186" i="1"/>
  <c r="C1185" i="1"/>
  <c r="C1184" i="1"/>
  <c r="C1183" i="1"/>
  <c r="C1182" i="1"/>
  <c r="C1181" i="1"/>
  <c r="C1180" i="1"/>
  <c r="C1179" i="1"/>
  <c r="C1178" i="1"/>
  <c r="C1177" i="1"/>
  <c r="C1176" i="1"/>
  <c r="C1175" i="1"/>
  <c r="C1174" i="1"/>
  <c r="C1173" i="1"/>
  <c r="C1172" i="1"/>
  <c r="C1171" i="1"/>
  <c r="C1170" i="1"/>
  <c r="C1169" i="1"/>
  <c r="C1168" i="1"/>
  <c r="C1167" i="1"/>
  <c r="C1166" i="1"/>
  <c r="C1165" i="1"/>
  <c r="C1164" i="1"/>
  <c r="C1163" i="1"/>
  <c r="C1162" i="1"/>
  <c r="C1161" i="1"/>
  <c r="C1160" i="1"/>
  <c r="C1159" i="1"/>
  <c r="C1158" i="1"/>
  <c r="C1157" i="1"/>
  <c r="C1156" i="1"/>
  <c r="C1155" i="1"/>
  <c r="C1154" i="1"/>
  <c r="C1153" i="1"/>
  <c r="C1152" i="1"/>
  <c r="C1151" i="1"/>
  <c r="C1150" i="1"/>
  <c r="C1149" i="1"/>
  <c r="C1148" i="1"/>
  <c r="C1147" i="1"/>
  <c r="C1146" i="1"/>
  <c r="C1145" i="1"/>
  <c r="C1144" i="1"/>
  <c r="C1143" i="1"/>
  <c r="C1142" i="1"/>
  <c r="C1141" i="1"/>
  <c r="C1140" i="1"/>
  <c r="C1139" i="1"/>
  <c r="C1138" i="1"/>
  <c r="C1137" i="1"/>
  <c r="C1136" i="1"/>
  <c r="C1135" i="1"/>
  <c r="C1134" i="1"/>
  <c r="C1133" i="1"/>
  <c r="C1132" i="1"/>
  <c r="C1131" i="1"/>
  <c r="C1130" i="1"/>
  <c r="C1129" i="1"/>
  <c r="C1128" i="1"/>
  <c r="C1127" i="1"/>
  <c r="C1126" i="1"/>
  <c r="C1125" i="1"/>
  <c r="C1124" i="1"/>
  <c r="C1123" i="1"/>
  <c r="C1122" i="1"/>
  <c r="C1121" i="1"/>
  <c r="C1120" i="1"/>
  <c r="C1119" i="1"/>
  <c r="C1118" i="1"/>
  <c r="C1117" i="1"/>
  <c r="C1116" i="1"/>
  <c r="C1115" i="1"/>
  <c r="C1114" i="1"/>
  <c r="C1113" i="1"/>
  <c r="C1112" i="1"/>
  <c r="C1111" i="1"/>
  <c r="C1110" i="1"/>
  <c r="C1109" i="1"/>
  <c r="C1108" i="1"/>
  <c r="C1107" i="1"/>
  <c r="C1106" i="1"/>
  <c r="C1105" i="1"/>
  <c r="C1104" i="1"/>
  <c r="C1103" i="1"/>
  <c r="C1102" i="1"/>
  <c r="C1101" i="1"/>
  <c r="C1100" i="1"/>
  <c r="C1099" i="1"/>
  <c r="C1098" i="1"/>
  <c r="C1097" i="1"/>
  <c r="C1096" i="1"/>
  <c r="C1095" i="1"/>
  <c r="C1094" i="1"/>
  <c r="C1093" i="1"/>
  <c r="C1092" i="1"/>
  <c r="C1091" i="1"/>
  <c r="C1090" i="1"/>
  <c r="C1089" i="1"/>
  <c r="C1088" i="1"/>
  <c r="C1087" i="1"/>
  <c r="C1086" i="1"/>
  <c r="C1085" i="1"/>
  <c r="C1084" i="1"/>
  <c r="C1083" i="1"/>
  <c r="C1082" i="1"/>
  <c r="C1081" i="1"/>
  <c r="C1080" i="1"/>
  <c r="C1079" i="1"/>
  <c r="C1078" i="1"/>
  <c r="C1077" i="1"/>
  <c r="C1076" i="1"/>
  <c r="C1075" i="1"/>
  <c r="C1074" i="1"/>
  <c r="C1073" i="1"/>
  <c r="C1072" i="1"/>
  <c r="C1071" i="1"/>
  <c r="C1070" i="1"/>
  <c r="C1069" i="1"/>
  <c r="C1068" i="1"/>
  <c r="C1067" i="1"/>
  <c r="C1066" i="1"/>
  <c r="C1065" i="1"/>
  <c r="C1064" i="1"/>
  <c r="C1063" i="1"/>
  <c r="C1062" i="1"/>
  <c r="C1061" i="1"/>
  <c r="C1060" i="1"/>
  <c r="C1059" i="1"/>
  <c r="C1058" i="1"/>
  <c r="C1057" i="1"/>
  <c r="C1056" i="1"/>
  <c r="C1055" i="1"/>
  <c r="C1054" i="1"/>
  <c r="C1053" i="1"/>
  <c r="C1052" i="1"/>
  <c r="C1051" i="1"/>
  <c r="C1050" i="1"/>
  <c r="C1049" i="1"/>
  <c r="C1048" i="1"/>
  <c r="C1047" i="1"/>
  <c r="C1046" i="1"/>
  <c r="C1045" i="1"/>
  <c r="C1044" i="1"/>
  <c r="C1043" i="1"/>
  <c r="C1042" i="1"/>
  <c r="C1041" i="1"/>
  <c r="C1040" i="1"/>
  <c r="C1039" i="1"/>
  <c r="C1038" i="1"/>
  <c r="C1037" i="1"/>
  <c r="C1036" i="1"/>
  <c r="C1035" i="1"/>
  <c r="C1034" i="1"/>
  <c r="C1033" i="1"/>
  <c r="C1032" i="1"/>
  <c r="C1031" i="1"/>
  <c r="C1030" i="1"/>
  <c r="C1029" i="1"/>
  <c r="C1028" i="1"/>
  <c r="C1027" i="1"/>
  <c r="C1026" i="1"/>
  <c r="C1025" i="1"/>
  <c r="C1024" i="1"/>
  <c r="C1023" i="1"/>
  <c r="C1022" i="1"/>
  <c r="C1021" i="1"/>
  <c r="C1020" i="1"/>
  <c r="C1019" i="1"/>
  <c r="C1018" i="1"/>
  <c r="C1017" i="1"/>
  <c r="C1016" i="1"/>
  <c r="C1015" i="1"/>
  <c r="C1014" i="1"/>
  <c r="C1013" i="1"/>
  <c r="C1012" i="1"/>
  <c r="C1011" i="1"/>
  <c r="C1010" i="1"/>
  <c r="C1009" i="1"/>
  <c r="C1008" i="1"/>
  <c r="C1007" i="1"/>
  <c r="C1006" i="1"/>
  <c r="C1005" i="1"/>
  <c r="C1004" i="1"/>
  <c r="C1003" i="1"/>
  <c r="C1002" i="1"/>
  <c r="C1001" i="1"/>
  <c r="C1000" i="1"/>
  <c r="C999" i="1"/>
  <c r="C998" i="1"/>
  <c r="C997" i="1"/>
  <c r="C996" i="1"/>
  <c r="C995" i="1"/>
  <c r="C994" i="1"/>
  <c r="C993" i="1"/>
  <c r="C992" i="1"/>
  <c r="C991" i="1"/>
  <c r="C990" i="1"/>
  <c r="C989" i="1"/>
  <c r="C988" i="1"/>
  <c r="C987" i="1"/>
  <c r="C986" i="1"/>
  <c r="C985" i="1"/>
  <c r="C984" i="1"/>
  <c r="C983" i="1"/>
  <c r="C982" i="1"/>
  <c r="C981" i="1"/>
  <c r="C980" i="1"/>
  <c r="C979" i="1"/>
  <c r="C978" i="1"/>
  <c r="C977" i="1"/>
  <c r="C976" i="1"/>
  <c r="C975" i="1"/>
  <c r="C974" i="1"/>
  <c r="C973" i="1"/>
  <c r="C972" i="1"/>
  <c r="C971" i="1"/>
  <c r="C970" i="1"/>
  <c r="C969" i="1"/>
  <c r="C968" i="1"/>
  <c r="C967" i="1"/>
  <c r="C966" i="1"/>
  <c r="C965" i="1"/>
  <c r="C964" i="1"/>
  <c r="C963" i="1"/>
  <c r="C962" i="1"/>
  <c r="C961" i="1"/>
  <c r="C960" i="1"/>
  <c r="C959" i="1"/>
  <c r="C958" i="1"/>
  <c r="C957" i="1"/>
  <c r="C956" i="1"/>
  <c r="C955" i="1"/>
  <c r="C954" i="1"/>
  <c r="C953" i="1"/>
  <c r="C952" i="1"/>
  <c r="C951" i="1"/>
  <c r="C950" i="1"/>
  <c r="C949" i="1"/>
  <c r="C948" i="1"/>
  <c r="C947" i="1"/>
  <c r="C946" i="1"/>
  <c r="C945" i="1"/>
  <c r="C944" i="1"/>
  <c r="C943" i="1"/>
  <c r="C942" i="1"/>
  <c r="C941" i="1"/>
  <c r="C940" i="1"/>
  <c r="C939" i="1"/>
  <c r="C938" i="1"/>
  <c r="C937" i="1"/>
  <c r="C936" i="1"/>
  <c r="C935" i="1"/>
  <c r="C934" i="1"/>
  <c r="C933" i="1"/>
  <c r="C932" i="1"/>
  <c r="C931" i="1"/>
  <c r="C930" i="1"/>
  <c r="C929" i="1"/>
  <c r="C928" i="1"/>
  <c r="C927" i="1"/>
  <c r="C926" i="1"/>
  <c r="C925" i="1"/>
  <c r="C924" i="1"/>
  <c r="C923" i="1"/>
  <c r="C922" i="1"/>
  <c r="C921" i="1"/>
  <c r="C920" i="1"/>
  <c r="C919" i="1"/>
  <c r="C918" i="1"/>
  <c r="C917" i="1"/>
  <c r="C916" i="1"/>
  <c r="C915" i="1"/>
  <c r="C914" i="1"/>
  <c r="C913" i="1"/>
  <c r="C912" i="1"/>
  <c r="C911" i="1"/>
  <c r="C910" i="1"/>
  <c r="C909" i="1"/>
  <c r="C908" i="1"/>
  <c r="C907" i="1"/>
  <c r="C906" i="1"/>
  <c r="C905" i="1"/>
  <c r="C904" i="1"/>
  <c r="C903" i="1"/>
  <c r="C902" i="1"/>
  <c r="C901" i="1"/>
  <c r="C900" i="1"/>
  <c r="C899" i="1"/>
  <c r="C898" i="1"/>
  <c r="C897" i="1"/>
  <c r="C896" i="1"/>
  <c r="C895" i="1"/>
  <c r="C894" i="1"/>
  <c r="C893" i="1"/>
  <c r="C892" i="1"/>
  <c r="C891" i="1"/>
  <c r="C890" i="1"/>
  <c r="C889" i="1"/>
  <c r="C888" i="1"/>
  <c r="C887" i="1"/>
  <c r="C886" i="1"/>
  <c r="C885" i="1"/>
  <c r="C884" i="1"/>
  <c r="C883" i="1"/>
  <c r="C882" i="1"/>
  <c r="C881" i="1"/>
  <c r="C880" i="1"/>
  <c r="C879" i="1"/>
  <c r="C878" i="1"/>
  <c r="C877" i="1"/>
  <c r="C876" i="1"/>
  <c r="C875" i="1"/>
  <c r="C874" i="1"/>
  <c r="C873" i="1"/>
  <c r="C872" i="1"/>
  <c r="C871" i="1"/>
  <c r="C870" i="1"/>
  <c r="C869" i="1"/>
  <c r="C868" i="1"/>
  <c r="C867" i="1"/>
  <c r="C866" i="1"/>
  <c r="C865" i="1"/>
  <c r="C864" i="1"/>
  <c r="C863" i="1"/>
  <c r="C862" i="1"/>
  <c r="C861" i="1"/>
  <c r="C860" i="1"/>
  <c r="C859" i="1"/>
  <c r="C858" i="1"/>
  <c r="C857" i="1"/>
  <c r="C856" i="1"/>
  <c r="C855" i="1"/>
  <c r="C854" i="1"/>
  <c r="C853" i="1"/>
  <c r="C852" i="1"/>
  <c r="C851" i="1"/>
  <c r="C850" i="1"/>
  <c r="C849" i="1"/>
  <c r="C848" i="1"/>
  <c r="C847" i="1"/>
  <c r="C846" i="1"/>
  <c r="C845" i="1"/>
  <c r="C844" i="1"/>
  <c r="C843" i="1"/>
  <c r="C842" i="1"/>
  <c r="C841" i="1"/>
  <c r="C840" i="1"/>
  <c r="C839" i="1"/>
  <c r="C838" i="1"/>
  <c r="C837" i="1"/>
  <c r="C836" i="1"/>
  <c r="C835" i="1"/>
  <c r="C834" i="1"/>
  <c r="C833" i="1"/>
  <c r="C832" i="1"/>
  <c r="C831" i="1"/>
  <c r="C830" i="1"/>
  <c r="C829" i="1"/>
  <c r="C828" i="1"/>
  <c r="C827" i="1"/>
  <c r="C826" i="1"/>
  <c r="C825" i="1"/>
  <c r="C824" i="1"/>
  <c r="C823" i="1"/>
  <c r="C822" i="1"/>
  <c r="C821" i="1"/>
  <c r="C820" i="1"/>
  <c r="C819" i="1"/>
  <c r="C818" i="1"/>
  <c r="C817" i="1"/>
  <c r="C816" i="1"/>
  <c r="C815" i="1"/>
  <c r="C814" i="1"/>
  <c r="C813" i="1"/>
  <c r="C812" i="1"/>
  <c r="C811" i="1"/>
  <c r="C810" i="1"/>
  <c r="C809" i="1"/>
  <c r="C808" i="1"/>
  <c r="C807" i="1"/>
  <c r="C806" i="1"/>
  <c r="C805" i="1"/>
  <c r="C804" i="1"/>
  <c r="C803" i="1"/>
  <c r="C802" i="1"/>
  <c r="C801" i="1"/>
  <c r="C800" i="1"/>
  <c r="C799" i="1"/>
  <c r="C798" i="1"/>
  <c r="C797" i="1"/>
  <c r="C796" i="1"/>
  <c r="C795" i="1"/>
  <c r="C794" i="1"/>
  <c r="C793" i="1"/>
  <c r="C792" i="1"/>
  <c r="C791" i="1"/>
  <c r="C790" i="1"/>
  <c r="C789" i="1"/>
  <c r="C788" i="1"/>
  <c r="C787" i="1"/>
  <c r="C786" i="1"/>
  <c r="C785" i="1"/>
  <c r="C784" i="1"/>
  <c r="C783" i="1"/>
  <c r="C782" i="1"/>
  <c r="C781" i="1"/>
  <c r="C780" i="1"/>
  <c r="C779" i="1"/>
  <c r="C778" i="1"/>
  <c r="C777" i="1"/>
  <c r="C776" i="1"/>
  <c r="C775" i="1"/>
  <c r="C774" i="1"/>
  <c r="C773" i="1"/>
  <c r="C772" i="1"/>
  <c r="C771" i="1"/>
  <c r="C770" i="1"/>
  <c r="C769" i="1"/>
  <c r="C768" i="1"/>
  <c r="C767" i="1"/>
  <c r="C766" i="1"/>
  <c r="C765" i="1"/>
  <c r="C764" i="1"/>
  <c r="C763" i="1"/>
  <c r="C762" i="1"/>
  <c r="C761" i="1"/>
  <c r="C760" i="1"/>
  <c r="C759" i="1"/>
  <c r="C758" i="1"/>
  <c r="C757" i="1"/>
  <c r="C756" i="1"/>
  <c r="C755" i="1"/>
  <c r="C754" i="1"/>
  <c r="C753" i="1"/>
  <c r="C752" i="1"/>
  <c r="C751" i="1"/>
  <c r="C750" i="1"/>
  <c r="C749" i="1"/>
  <c r="C748" i="1"/>
  <c r="C747" i="1"/>
  <c r="C746" i="1"/>
  <c r="C745" i="1"/>
  <c r="C744" i="1"/>
  <c r="C743" i="1"/>
  <c r="C742" i="1"/>
  <c r="C741" i="1"/>
  <c r="C740" i="1"/>
  <c r="C739" i="1"/>
  <c r="C738" i="1"/>
  <c r="C737" i="1"/>
  <c r="C736" i="1"/>
  <c r="C735" i="1"/>
  <c r="C734" i="1"/>
  <c r="C733" i="1"/>
  <c r="C732" i="1"/>
  <c r="C731" i="1"/>
  <c r="C730" i="1"/>
  <c r="C729" i="1"/>
  <c r="C728" i="1"/>
  <c r="C727" i="1"/>
  <c r="C726" i="1"/>
  <c r="C725" i="1"/>
  <c r="C724" i="1"/>
  <c r="C723" i="1"/>
  <c r="C722" i="1"/>
  <c r="C721" i="1"/>
  <c r="C720" i="1"/>
  <c r="C719" i="1"/>
  <c r="C718" i="1"/>
  <c r="C717" i="1"/>
  <c r="C716" i="1"/>
  <c r="C715" i="1"/>
  <c r="C714" i="1"/>
  <c r="C713" i="1"/>
  <c r="C712" i="1"/>
  <c r="C711" i="1"/>
  <c r="C710" i="1"/>
  <c r="C709" i="1"/>
  <c r="C708" i="1"/>
  <c r="C707" i="1"/>
  <c r="C706" i="1"/>
  <c r="C705" i="1"/>
  <c r="C704" i="1"/>
  <c r="C703" i="1"/>
  <c r="C702" i="1"/>
  <c r="C701" i="1"/>
  <c r="C700" i="1"/>
  <c r="C699" i="1"/>
  <c r="C698" i="1"/>
  <c r="C697" i="1"/>
  <c r="C696" i="1"/>
  <c r="C695" i="1"/>
  <c r="C694" i="1"/>
  <c r="C693" i="1"/>
  <c r="C692" i="1"/>
  <c r="C691" i="1"/>
  <c r="C690" i="1"/>
  <c r="C689" i="1"/>
  <c r="C688" i="1"/>
  <c r="C687" i="1"/>
  <c r="C686" i="1"/>
  <c r="C685" i="1"/>
  <c r="C684" i="1"/>
  <c r="C683" i="1"/>
  <c r="C682" i="1"/>
  <c r="C681" i="1"/>
  <c r="C680" i="1"/>
  <c r="C679" i="1"/>
  <c r="C678" i="1"/>
  <c r="C677" i="1"/>
  <c r="C676" i="1"/>
  <c r="C675" i="1"/>
  <c r="C674" i="1"/>
  <c r="C673" i="1"/>
  <c r="C672" i="1"/>
  <c r="C671" i="1"/>
  <c r="C670" i="1"/>
  <c r="C669" i="1"/>
  <c r="C668" i="1"/>
  <c r="C667" i="1"/>
  <c r="C666" i="1"/>
  <c r="C665" i="1"/>
  <c r="C664" i="1"/>
  <c r="C663" i="1"/>
  <c r="C662" i="1"/>
  <c r="C661" i="1"/>
  <c r="C660" i="1"/>
  <c r="C659" i="1"/>
  <c r="C658" i="1"/>
  <c r="C657" i="1"/>
  <c r="C656" i="1"/>
  <c r="C655" i="1"/>
  <c r="C654" i="1"/>
  <c r="C653" i="1"/>
  <c r="C652" i="1"/>
  <c r="C651" i="1"/>
  <c r="C650" i="1"/>
  <c r="C649" i="1"/>
  <c r="C648" i="1"/>
  <c r="C647" i="1"/>
  <c r="C646" i="1"/>
  <c r="C645" i="1"/>
  <c r="C644" i="1"/>
  <c r="C643" i="1"/>
  <c r="C642" i="1"/>
  <c r="C641" i="1"/>
  <c r="C640" i="1"/>
  <c r="C639" i="1"/>
  <c r="C638" i="1"/>
  <c r="C637" i="1"/>
  <c r="C636" i="1"/>
  <c r="C635" i="1"/>
  <c r="C634" i="1"/>
  <c r="C633" i="1"/>
  <c r="C632" i="1"/>
  <c r="C631" i="1"/>
  <c r="C630" i="1"/>
  <c r="C629" i="1"/>
  <c r="C628" i="1"/>
  <c r="C627" i="1"/>
  <c r="C626" i="1"/>
  <c r="C625" i="1"/>
  <c r="C624" i="1"/>
  <c r="C623" i="1"/>
  <c r="C622" i="1"/>
  <c r="C621" i="1"/>
  <c r="C620" i="1"/>
  <c r="C619" i="1"/>
  <c r="C618" i="1"/>
  <c r="C617" i="1"/>
  <c r="C616" i="1"/>
  <c r="C615" i="1"/>
  <c r="C614" i="1"/>
  <c r="C613" i="1"/>
  <c r="C612" i="1"/>
  <c r="C611" i="1"/>
  <c r="C610" i="1"/>
  <c r="C609" i="1"/>
  <c r="C608" i="1"/>
  <c r="C607" i="1"/>
  <c r="C606" i="1"/>
  <c r="C605" i="1"/>
  <c r="C604" i="1"/>
  <c r="C603" i="1"/>
  <c r="C602" i="1"/>
  <c r="C601" i="1"/>
  <c r="C600" i="1"/>
  <c r="C599" i="1"/>
  <c r="C598" i="1"/>
  <c r="C597" i="1"/>
  <c r="C596" i="1"/>
  <c r="C595" i="1"/>
  <c r="C594" i="1"/>
  <c r="C593" i="1"/>
  <c r="C592" i="1"/>
  <c r="C591" i="1"/>
  <c r="C590" i="1"/>
  <c r="C589" i="1"/>
  <c r="C588" i="1"/>
  <c r="C587" i="1"/>
  <c r="C586" i="1"/>
  <c r="C585" i="1"/>
  <c r="C584" i="1"/>
  <c r="C583" i="1"/>
  <c r="C582" i="1"/>
  <c r="C581" i="1"/>
  <c r="C580" i="1"/>
  <c r="C579" i="1"/>
  <c r="C578" i="1"/>
  <c r="C577" i="1"/>
  <c r="C576" i="1"/>
  <c r="C575" i="1"/>
  <c r="C574" i="1"/>
  <c r="C573" i="1"/>
  <c r="C572" i="1"/>
  <c r="C571" i="1"/>
  <c r="C570" i="1"/>
  <c r="C569" i="1"/>
  <c r="C568" i="1"/>
  <c r="C567" i="1"/>
  <c r="C566" i="1"/>
  <c r="C565" i="1"/>
  <c r="C564" i="1"/>
  <c r="C563" i="1"/>
  <c r="C562" i="1"/>
  <c r="C561" i="1"/>
  <c r="C560" i="1"/>
  <c r="C559" i="1"/>
  <c r="C558" i="1"/>
  <c r="C557" i="1"/>
  <c r="C556" i="1"/>
  <c r="C555" i="1"/>
  <c r="C554" i="1"/>
  <c r="C553" i="1"/>
  <c r="C552" i="1"/>
  <c r="C551" i="1"/>
  <c r="C550" i="1"/>
  <c r="C549" i="1"/>
  <c r="C548" i="1"/>
  <c r="C547" i="1"/>
  <c r="C546" i="1"/>
  <c r="C545" i="1"/>
  <c r="C544" i="1"/>
  <c r="C543" i="1"/>
  <c r="C542" i="1"/>
  <c r="C541" i="1"/>
  <c r="C540" i="1"/>
  <c r="C539" i="1"/>
  <c r="C538" i="1"/>
  <c r="C537" i="1"/>
  <c r="C536" i="1"/>
  <c r="C535" i="1"/>
  <c r="C534" i="1"/>
  <c r="C533" i="1"/>
  <c r="C532" i="1"/>
  <c r="C531" i="1"/>
  <c r="C530" i="1"/>
  <c r="C529" i="1"/>
  <c r="C528" i="1"/>
  <c r="C527" i="1"/>
  <c r="C526" i="1"/>
  <c r="C525" i="1"/>
  <c r="C524" i="1"/>
  <c r="C523" i="1"/>
  <c r="C522" i="1"/>
  <c r="C521" i="1"/>
  <c r="C520" i="1"/>
  <c r="C519" i="1"/>
  <c r="C518" i="1"/>
  <c r="C517" i="1"/>
  <c r="C516" i="1"/>
  <c r="C515" i="1"/>
  <c r="C514" i="1"/>
  <c r="C513" i="1"/>
  <c r="C512" i="1"/>
  <c r="C511" i="1"/>
  <c r="C510" i="1"/>
  <c r="C509" i="1"/>
  <c r="C508" i="1"/>
  <c r="C507" i="1"/>
  <c r="C506" i="1"/>
  <c r="C505" i="1"/>
  <c r="C504" i="1"/>
  <c r="C503" i="1"/>
  <c r="C502" i="1"/>
  <c r="C501" i="1"/>
  <c r="C500" i="1"/>
  <c r="C499" i="1"/>
  <c r="C498" i="1"/>
  <c r="C497" i="1"/>
  <c r="C496" i="1"/>
  <c r="C495" i="1"/>
  <c r="C494" i="1"/>
  <c r="C493" i="1"/>
  <c r="C492" i="1"/>
  <c r="C491" i="1"/>
  <c r="C490" i="1"/>
  <c r="C489" i="1"/>
  <c r="C488" i="1"/>
  <c r="C487" i="1"/>
  <c r="C486" i="1"/>
  <c r="C485" i="1"/>
  <c r="C484" i="1"/>
  <c r="C483" i="1"/>
  <c r="C482" i="1"/>
  <c r="C481" i="1"/>
  <c r="C480" i="1"/>
  <c r="C479" i="1"/>
  <c r="C478" i="1"/>
  <c r="C477" i="1"/>
  <c r="C476" i="1"/>
  <c r="C475" i="1"/>
  <c r="C474" i="1"/>
  <c r="C473" i="1"/>
  <c r="C472" i="1"/>
  <c r="C471" i="1"/>
  <c r="C470" i="1"/>
  <c r="C469" i="1"/>
  <c r="C468" i="1"/>
  <c r="C467" i="1"/>
  <c r="C466" i="1"/>
  <c r="C465" i="1"/>
  <c r="C464" i="1"/>
  <c r="C463" i="1"/>
  <c r="C462" i="1"/>
  <c r="C461" i="1"/>
  <c r="C460" i="1"/>
  <c r="C459" i="1"/>
  <c r="C458" i="1"/>
  <c r="C457" i="1"/>
  <c r="C456" i="1"/>
  <c r="C455" i="1"/>
  <c r="C454" i="1"/>
  <c r="C453" i="1"/>
  <c r="C452" i="1"/>
  <c r="C451" i="1"/>
  <c r="C450" i="1"/>
  <c r="C449" i="1"/>
  <c r="C448" i="1"/>
  <c r="C447" i="1"/>
  <c r="C446" i="1"/>
  <c r="C445" i="1"/>
  <c r="C444" i="1"/>
  <c r="C443" i="1"/>
  <c r="C442" i="1"/>
  <c r="C441" i="1"/>
  <c r="C440" i="1"/>
  <c r="C439" i="1"/>
  <c r="C438" i="1"/>
  <c r="C437" i="1"/>
  <c r="C436" i="1"/>
  <c r="C435" i="1"/>
  <c r="C434" i="1"/>
  <c r="C433" i="1"/>
  <c r="C432" i="1"/>
  <c r="C431" i="1"/>
  <c r="C430" i="1"/>
  <c r="C429" i="1"/>
  <c r="C428" i="1"/>
  <c r="C427" i="1"/>
  <c r="C426" i="1"/>
  <c r="C425" i="1"/>
  <c r="C424" i="1"/>
  <c r="C423" i="1"/>
  <c r="C422" i="1"/>
  <c r="C421" i="1"/>
  <c r="C420" i="1"/>
  <c r="C419" i="1"/>
  <c r="C418" i="1"/>
  <c r="C417" i="1"/>
  <c r="C416" i="1"/>
  <c r="C415" i="1"/>
  <c r="C414" i="1"/>
  <c r="C413" i="1"/>
  <c r="C412" i="1"/>
  <c r="C411" i="1"/>
  <c r="C410" i="1"/>
  <c r="C409" i="1"/>
  <c r="C408" i="1"/>
  <c r="C407" i="1"/>
  <c r="C406" i="1"/>
  <c r="C405" i="1"/>
  <c r="C404" i="1"/>
  <c r="C403" i="1"/>
  <c r="C402" i="1"/>
  <c r="C401" i="1"/>
  <c r="C400" i="1"/>
  <c r="C399" i="1"/>
  <c r="C398" i="1"/>
  <c r="C397" i="1"/>
  <c r="C396" i="1"/>
  <c r="C395" i="1"/>
  <c r="C394" i="1"/>
  <c r="C393" i="1"/>
  <c r="C392" i="1"/>
  <c r="C391" i="1"/>
  <c r="C390" i="1"/>
  <c r="C389" i="1"/>
  <c r="C388" i="1"/>
  <c r="C387" i="1"/>
  <c r="C386" i="1"/>
  <c r="C385" i="1"/>
  <c r="C384" i="1"/>
  <c r="C383" i="1"/>
  <c r="C382" i="1"/>
  <c r="C381" i="1"/>
  <c r="C380" i="1"/>
  <c r="C379" i="1"/>
  <c r="C378" i="1"/>
  <c r="C377" i="1"/>
  <c r="C376" i="1"/>
  <c r="C375" i="1"/>
  <c r="C374" i="1"/>
  <c r="C373" i="1"/>
  <c r="C372" i="1"/>
  <c r="C371" i="1"/>
  <c r="C370" i="1"/>
  <c r="C369" i="1"/>
  <c r="C368" i="1"/>
  <c r="C367" i="1"/>
  <c r="C366" i="1"/>
  <c r="C365" i="1"/>
  <c r="C364" i="1"/>
  <c r="C363" i="1"/>
  <c r="C362" i="1"/>
  <c r="C361" i="1"/>
  <c r="C360" i="1"/>
  <c r="C359" i="1"/>
  <c r="C358" i="1"/>
  <c r="C357" i="1"/>
  <c r="C356" i="1"/>
  <c r="C355" i="1"/>
  <c r="C354" i="1"/>
  <c r="C353" i="1"/>
  <c r="C352" i="1"/>
  <c r="C351" i="1"/>
  <c r="C350" i="1"/>
  <c r="C349" i="1"/>
  <c r="C348" i="1"/>
  <c r="C347" i="1"/>
  <c r="C346" i="1"/>
  <c r="C345" i="1"/>
  <c r="C344" i="1"/>
  <c r="C343" i="1"/>
  <c r="C342" i="1"/>
  <c r="C341" i="1"/>
  <c r="C340" i="1"/>
  <c r="C339" i="1"/>
  <c r="C338" i="1"/>
  <c r="C337" i="1"/>
  <c r="C336" i="1"/>
  <c r="C335" i="1"/>
  <c r="C334" i="1"/>
  <c r="C333" i="1"/>
  <c r="C332" i="1"/>
  <c r="C331" i="1"/>
  <c r="C330" i="1"/>
  <c r="C329" i="1"/>
  <c r="C328" i="1"/>
  <c r="C327" i="1"/>
  <c r="C326" i="1"/>
  <c r="C325" i="1"/>
  <c r="C324" i="1"/>
  <c r="C323" i="1"/>
  <c r="C322" i="1"/>
  <c r="C321" i="1"/>
  <c r="C320" i="1"/>
  <c r="C319" i="1"/>
  <c r="C318" i="1"/>
  <c r="C317" i="1"/>
  <c r="C316" i="1"/>
  <c r="C315" i="1"/>
  <c r="C314" i="1"/>
  <c r="C313" i="1"/>
  <c r="C312" i="1"/>
  <c r="C311" i="1"/>
  <c r="C310" i="1"/>
  <c r="C309" i="1"/>
  <c r="C308" i="1"/>
  <c r="C307" i="1"/>
  <c r="C306" i="1"/>
  <c r="C305" i="1"/>
  <c r="C304" i="1"/>
  <c r="C303" i="1"/>
  <c r="C302" i="1"/>
  <c r="C301" i="1"/>
  <c r="C300" i="1"/>
  <c r="C299" i="1"/>
  <c r="C298" i="1"/>
  <c r="C297" i="1"/>
  <c r="C296" i="1"/>
  <c r="C295" i="1"/>
  <c r="C294" i="1"/>
  <c r="C293" i="1"/>
  <c r="C292" i="1"/>
  <c r="C291" i="1"/>
  <c r="C290" i="1"/>
  <c r="C289" i="1"/>
  <c r="C288" i="1"/>
  <c r="C287" i="1"/>
  <c r="C286" i="1"/>
  <c r="C285" i="1"/>
  <c r="C284" i="1"/>
  <c r="C283" i="1"/>
  <c r="C282" i="1"/>
  <c r="C281" i="1"/>
  <c r="C280" i="1"/>
  <c r="C279" i="1"/>
  <c r="C278" i="1"/>
  <c r="C277" i="1"/>
  <c r="C276" i="1"/>
  <c r="C275" i="1"/>
  <c r="C274" i="1"/>
  <c r="C273" i="1"/>
  <c r="C272" i="1"/>
  <c r="C271" i="1"/>
  <c r="C270" i="1"/>
  <c r="C269" i="1"/>
  <c r="C268" i="1"/>
  <c r="C267" i="1"/>
  <c r="C266" i="1"/>
  <c r="C265" i="1"/>
  <c r="C264" i="1"/>
  <c r="C263" i="1"/>
  <c r="C262" i="1"/>
  <c r="C261" i="1"/>
  <c r="C260" i="1"/>
  <c r="C259" i="1"/>
  <c r="C258" i="1"/>
  <c r="C257" i="1"/>
  <c r="C256" i="1"/>
  <c r="C255" i="1"/>
  <c r="C254" i="1"/>
  <c r="C253" i="1"/>
  <c r="C252" i="1"/>
  <c r="C251" i="1"/>
  <c r="C250" i="1"/>
  <c r="C249" i="1"/>
  <c r="C248" i="1"/>
  <c r="C247" i="1"/>
  <c r="C246" i="1"/>
  <c r="C245" i="1"/>
  <c r="C244" i="1"/>
  <c r="C243" i="1"/>
  <c r="C242" i="1"/>
  <c r="C241" i="1"/>
  <c r="C240" i="1"/>
  <c r="C239" i="1"/>
  <c r="C238" i="1"/>
  <c r="C237" i="1"/>
  <c r="C236" i="1"/>
  <c r="C235" i="1"/>
  <c r="C234" i="1"/>
  <c r="C233" i="1"/>
  <c r="C232" i="1"/>
  <c r="C231" i="1"/>
  <c r="C230" i="1"/>
  <c r="C229" i="1"/>
  <c r="C228" i="1"/>
  <c r="C227" i="1"/>
  <c r="C226" i="1"/>
  <c r="C225" i="1"/>
  <c r="C224" i="1"/>
  <c r="C223" i="1"/>
  <c r="C222" i="1"/>
  <c r="C221" i="1"/>
  <c r="C220" i="1"/>
  <c r="C219" i="1"/>
  <c r="C218" i="1"/>
  <c r="C217" i="1"/>
  <c r="C216" i="1"/>
  <c r="C215" i="1"/>
  <c r="C214" i="1"/>
  <c r="C213" i="1"/>
  <c r="C212" i="1"/>
  <c r="C211" i="1"/>
  <c r="C210" i="1"/>
  <c r="C209" i="1"/>
  <c r="C208" i="1"/>
  <c r="C207" i="1"/>
  <c r="C206" i="1"/>
  <c r="C205" i="1"/>
  <c r="C204" i="1"/>
  <c r="C203" i="1"/>
  <c r="C202" i="1"/>
  <c r="C201" i="1"/>
  <c r="C200" i="1"/>
  <c r="C199" i="1"/>
  <c r="C198" i="1"/>
  <c r="C197" i="1"/>
  <c r="C196" i="1"/>
  <c r="C195" i="1"/>
  <c r="C194" i="1"/>
  <c r="C193" i="1"/>
  <c r="C192" i="1"/>
  <c r="C191" i="1"/>
  <c r="C190" i="1"/>
  <c r="C189" i="1"/>
  <c r="C188" i="1"/>
  <c r="C187" i="1"/>
  <c r="C186" i="1"/>
  <c r="C185" i="1"/>
  <c r="C184" i="1"/>
  <c r="C183" i="1"/>
  <c r="C182" i="1"/>
  <c r="C181" i="1"/>
  <c r="C180" i="1"/>
  <c r="C179" i="1"/>
  <c r="C178" i="1"/>
  <c r="C177" i="1"/>
  <c r="C176" i="1"/>
  <c r="C175" i="1"/>
  <c r="C174" i="1"/>
  <c r="C173" i="1"/>
  <c r="C172" i="1"/>
  <c r="C171" i="1"/>
  <c r="C170" i="1"/>
  <c r="C169" i="1"/>
  <c r="C168" i="1"/>
  <c r="C167" i="1"/>
  <c r="C166" i="1"/>
  <c r="C165" i="1"/>
  <c r="C164" i="1"/>
  <c r="C163" i="1"/>
  <c r="C162" i="1"/>
  <c r="C161" i="1"/>
  <c r="C160" i="1"/>
  <c r="C159" i="1"/>
  <c r="C158" i="1"/>
  <c r="C157" i="1"/>
  <c r="C156" i="1"/>
  <c r="C155" i="1"/>
  <c r="C154" i="1"/>
  <c r="C153" i="1"/>
  <c r="C152" i="1"/>
  <c r="C151" i="1"/>
  <c r="C150" i="1"/>
  <c r="C149" i="1"/>
  <c r="C148" i="1"/>
  <c r="C147" i="1"/>
  <c r="C146" i="1"/>
  <c r="C145" i="1"/>
  <c r="C144" i="1"/>
  <c r="C143" i="1"/>
  <c r="C142" i="1"/>
  <c r="C141" i="1"/>
  <c r="C140" i="1"/>
  <c r="C139" i="1"/>
  <c r="C138" i="1"/>
  <c r="C137" i="1"/>
  <c r="C136" i="1"/>
  <c r="C135" i="1"/>
  <c r="C134" i="1"/>
  <c r="C133" i="1"/>
  <c r="C132" i="1"/>
  <c r="C131" i="1"/>
  <c r="C130" i="1"/>
  <c r="C129" i="1"/>
  <c r="C128" i="1"/>
  <c r="C127" i="1"/>
  <c r="C126" i="1"/>
  <c r="C125" i="1"/>
  <c r="C124" i="1"/>
  <c r="C123" i="1"/>
  <c r="C122" i="1"/>
  <c r="C121" i="1"/>
  <c r="C120" i="1"/>
  <c r="C119" i="1"/>
  <c r="C118" i="1"/>
  <c r="C117" i="1"/>
  <c r="C116" i="1"/>
  <c r="C115" i="1"/>
  <c r="C114" i="1"/>
  <c r="C113" i="1"/>
  <c r="C112" i="1"/>
  <c r="C111" i="1"/>
  <c r="C110" i="1"/>
  <c r="C109" i="1"/>
  <c r="C108" i="1"/>
  <c r="C107" i="1"/>
  <c r="C106" i="1"/>
  <c r="C105" i="1"/>
  <c r="C104" i="1"/>
  <c r="C103" i="1"/>
  <c r="C102" i="1"/>
  <c r="C101" i="1"/>
  <c r="C100" i="1"/>
  <c r="C99" i="1"/>
  <c r="C98" i="1"/>
  <c r="C97" i="1"/>
  <c r="C96" i="1"/>
  <c r="C95" i="1"/>
  <c r="C94" i="1"/>
  <c r="C93" i="1"/>
  <c r="C92" i="1"/>
  <c r="C91" i="1"/>
  <c r="C90" i="1"/>
  <c r="C89" i="1"/>
  <c r="C88" i="1"/>
  <c r="C87" i="1"/>
  <c r="C86" i="1"/>
  <c r="C85"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C10" i="1"/>
  <c r="C9" i="1"/>
  <c r="C8" i="1"/>
  <c r="C7" i="1"/>
  <c r="C6" i="1"/>
  <c r="C5" i="1"/>
  <c r="C4" i="1"/>
  <c r="C3" i="1"/>
  <c r="C2" i="1"/>
</calcChain>
</file>

<file path=xl/sharedStrings.xml><?xml version="1.0" encoding="utf-8"?>
<sst xmlns="http://schemas.openxmlformats.org/spreadsheetml/2006/main" count="1880" uniqueCount="382">
  <si>
    <t>公告日期</t>
  </si>
  <si>
    <t>证券代码</t>
  </si>
  <si>
    <t>公告标题</t>
  </si>
  <si>
    <t>数据来源：Wind资讯</t>
  </si>
  <si>
    <t>300386.SZ</t>
  </si>
  <si>
    <t>601299.SH</t>
  </si>
  <si>
    <t>300370.SZ</t>
  </si>
  <si>
    <t>002717.SZ</t>
  </si>
  <si>
    <t>002715.SZ</t>
  </si>
  <si>
    <t>002713.SZ</t>
  </si>
  <si>
    <t>002705.SZ</t>
  </si>
  <si>
    <t>603288.SH</t>
  </si>
  <si>
    <t>603005.SH</t>
  </si>
  <si>
    <t>300379.SZ</t>
  </si>
  <si>
    <t>300383.SZ</t>
  </si>
  <si>
    <t>300369.SZ</t>
  </si>
  <si>
    <t>300382.SZ</t>
  </si>
  <si>
    <t>002725.SZ</t>
  </si>
  <si>
    <t>002723.SZ</t>
  </si>
  <si>
    <t>300367.SZ</t>
  </si>
  <si>
    <t>300363.SZ</t>
  </si>
  <si>
    <t>002716.SZ</t>
  </si>
  <si>
    <t>300381.SZ</t>
  </si>
  <si>
    <t>002722.SZ</t>
  </si>
  <si>
    <t>002714.SZ</t>
  </si>
  <si>
    <t>002719.SZ</t>
  </si>
  <si>
    <t>300380.SZ</t>
  </si>
  <si>
    <t>002718.SZ</t>
  </si>
  <si>
    <t>601225.SH</t>
  </si>
  <si>
    <t>002711.SZ</t>
  </si>
  <si>
    <t>300372.SZ</t>
  </si>
  <si>
    <t>300366.SZ</t>
  </si>
  <si>
    <t>300377.SZ</t>
  </si>
  <si>
    <t>300376.SZ</t>
  </si>
  <si>
    <t>300378.SZ</t>
  </si>
  <si>
    <t>002721.SZ</t>
  </si>
  <si>
    <t>300375.SZ</t>
  </si>
  <si>
    <t>603555.SH</t>
  </si>
  <si>
    <t>002712.SZ</t>
  </si>
  <si>
    <t>300365.SZ</t>
  </si>
  <si>
    <t>300371.SZ</t>
  </si>
  <si>
    <t>002709.SZ</t>
  </si>
  <si>
    <t>002707.SZ</t>
  </si>
  <si>
    <t>300373.SZ</t>
  </si>
  <si>
    <t>300368.SZ</t>
  </si>
  <si>
    <t>603308.SH</t>
  </si>
  <si>
    <t>300357.SZ</t>
  </si>
  <si>
    <t>300360.SZ</t>
  </si>
  <si>
    <t>300359.SZ</t>
  </si>
  <si>
    <t>300362.SZ</t>
  </si>
  <si>
    <t>300358.SZ</t>
  </si>
  <si>
    <t>002708.SZ</t>
  </si>
  <si>
    <t>002706.SZ</t>
  </si>
  <si>
    <t>603699.SH</t>
  </si>
  <si>
    <t>002617.SZ</t>
  </si>
  <si>
    <t>601717.SH</t>
  </si>
  <si>
    <t>002703.SZ</t>
  </si>
  <si>
    <t>002701.SZ</t>
  </si>
  <si>
    <t>002702.SZ</t>
  </si>
  <si>
    <t>300356.SZ</t>
  </si>
  <si>
    <t>603993.SH</t>
  </si>
  <si>
    <t>300355.SZ</t>
  </si>
  <si>
    <t>300353.SZ</t>
  </si>
  <si>
    <t>002700.SZ</t>
  </si>
  <si>
    <t>300354.SZ</t>
  </si>
  <si>
    <t>300351.SZ</t>
  </si>
  <si>
    <t>300352.SZ</t>
  </si>
  <si>
    <t>002699.SZ</t>
  </si>
  <si>
    <t>002698.SZ</t>
  </si>
  <si>
    <t>603167.SH</t>
  </si>
  <si>
    <t>002695.SZ</t>
  </si>
  <si>
    <t>002696.SZ</t>
  </si>
  <si>
    <t>002697.SZ</t>
  </si>
  <si>
    <t>603399.SH</t>
  </si>
  <si>
    <t>300350.SZ</t>
  </si>
  <si>
    <t>300349.SZ</t>
  </si>
  <si>
    <t>300348.SZ</t>
  </si>
  <si>
    <t>603003.SH</t>
  </si>
  <si>
    <t>300347.SZ</t>
  </si>
  <si>
    <t>002694.SZ</t>
  </si>
  <si>
    <t>603766.SH</t>
  </si>
  <si>
    <t>601038.SH</t>
  </si>
  <si>
    <t>002693.SZ</t>
  </si>
  <si>
    <t>002692.SZ</t>
  </si>
  <si>
    <t>300346.SZ</t>
  </si>
  <si>
    <t>300345.SZ</t>
  </si>
  <si>
    <t>300343.SZ</t>
  </si>
  <si>
    <t>300344.SZ</t>
  </si>
  <si>
    <t>603077.SH</t>
  </si>
  <si>
    <t>002691.SZ</t>
  </si>
  <si>
    <t>002690.SZ</t>
  </si>
  <si>
    <t>300340.SZ</t>
  </si>
  <si>
    <t>300338.SZ</t>
  </si>
  <si>
    <t>300341.SZ</t>
  </si>
  <si>
    <t>300342.SZ</t>
  </si>
  <si>
    <t>300337.SZ</t>
  </si>
  <si>
    <t>300339.SZ</t>
  </si>
  <si>
    <t>603008.SH</t>
  </si>
  <si>
    <t>002689.SZ</t>
  </si>
  <si>
    <t>002688.SZ</t>
  </si>
  <si>
    <t>002687.SZ</t>
  </si>
  <si>
    <t>300336.SZ</t>
  </si>
  <si>
    <t>300335.SZ</t>
  </si>
  <si>
    <t>601608.SH</t>
  </si>
  <si>
    <t>300334.SZ</t>
  </si>
  <si>
    <t>002686.SZ</t>
  </si>
  <si>
    <t>300333.SZ</t>
  </si>
  <si>
    <t>300332.SZ</t>
  </si>
  <si>
    <t>300331.SZ</t>
  </si>
  <si>
    <t>300330.SZ</t>
  </si>
  <si>
    <t>300329.SZ</t>
  </si>
  <si>
    <t>300328.SZ</t>
  </si>
  <si>
    <t>300327.SZ</t>
  </si>
  <si>
    <t>300326.SZ</t>
  </si>
  <si>
    <t>601339.SH</t>
  </si>
  <si>
    <t>002683.SZ</t>
  </si>
  <si>
    <t>002685.SZ</t>
  </si>
  <si>
    <t>002682.SZ</t>
  </si>
  <si>
    <t>002684.SZ</t>
  </si>
  <si>
    <t>601965.SH</t>
  </si>
  <si>
    <t>300324.SZ</t>
  </si>
  <si>
    <t>300322.SZ</t>
  </si>
  <si>
    <t>002681.SZ</t>
  </si>
  <si>
    <t>002680.SZ</t>
  </si>
  <si>
    <t>002679.SZ</t>
  </si>
  <si>
    <t>300323.SZ</t>
  </si>
  <si>
    <t>300325.SZ</t>
  </si>
  <si>
    <t>300320.SZ</t>
  </si>
  <si>
    <t>002678.SZ</t>
  </si>
  <si>
    <t>603128.SH</t>
  </si>
  <si>
    <t>002675.SZ</t>
  </si>
  <si>
    <t>002676.SZ</t>
  </si>
  <si>
    <t>002677.SZ</t>
  </si>
  <si>
    <t>300318.SZ</t>
  </si>
  <si>
    <t>300319.SZ</t>
  </si>
  <si>
    <t>300321.SZ</t>
  </si>
  <si>
    <t>300262.SZ</t>
  </si>
  <si>
    <t>603366.SH</t>
  </si>
  <si>
    <t>603002.SH</t>
  </si>
  <si>
    <t>300317.SZ</t>
  </si>
  <si>
    <t>300315.SZ</t>
  </si>
  <si>
    <t>300316.SZ</t>
  </si>
  <si>
    <t>300314.SZ</t>
  </si>
  <si>
    <t>300312.SZ</t>
  </si>
  <si>
    <t>603333.SH</t>
  </si>
  <si>
    <t>002674.SZ</t>
  </si>
  <si>
    <t>603123.SH</t>
  </si>
  <si>
    <t>002673.SZ</t>
  </si>
  <si>
    <t>002672.SZ</t>
  </si>
  <si>
    <t>603000.SH</t>
  </si>
  <si>
    <t>002671.SZ</t>
  </si>
  <si>
    <t>603001.SH</t>
  </si>
  <si>
    <t>300311.SZ</t>
  </si>
  <si>
    <t>300313.SZ</t>
  </si>
  <si>
    <t>300310.SZ</t>
  </si>
  <si>
    <t>601388.SH</t>
  </si>
  <si>
    <t>600837.SH</t>
  </si>
  <si>
    <t>002670.SZ</t>
  </si>
  <si>
    <t>002669.SZ</t>
  </si>
  <si>
    <t>002668.SZ</t>
  </si>
  <si>
    <t>300309.SZ</t>
  </si>
  <si>
    <t>601012.SH</t>
  </si>
  <si>
    <t>300308.SZ</t>
  </si>
  <si>
    <t>300307.SZ</t>
  </si>
  <si>
    <t>300306.SZ</t>
  </si>
  <si>
    <t>300305.SZ</t>
  </si>
  <si>
    <t>002667.SZ</t>
  </si>
  <si>
    <t>002665.SZ</t>
  </si>
  <si>
    <t>601238.SH</t>
  </si>
  <si>
    <t>002666.SZ</t>
  </si>
  <si>
    <t>300302.SZ</t>
  </si>
  <si>
    <t>300301.SZ</t>
  </si>
  <si>
    <t>300304.SZ</t>
  </si>
  <si>
    <t>300303.SZ</t>
  </si>
  <si>
    <t>300298.SZ</t>
  </si>
  <si>
    <t>300300.SZ</t>
  </si>
  <si>
    <t>300299.SZ</t>
  </si>
  <si>
    <t>002660.SZ</t>
  </si>
  <si>
    <t>002663.SZ</t>
  </si>
  <si>
    <t>002664.SZ</t>
  </si>
  <si>
    <t>002661.SZ</t>
  </si>
  <si>
    <t>300295.SZ</t>
  </si>
  <si>
    <t>300296.SZ</t>
  </si>
  <si>
    <t>300297.SZ</t>
  </si>
  <si>
    <t>002662.SZ</t>
  </si>
  <si>
    <t>601800.SH</t>
  </si>
  <si>
    <t>002658.SZ</t>
  </si>
  <si>
    <t>002659.SZ</t>
  </si>
  <si>
    <t>300293.SZ</t>
  </si>
  <si>
    <t>300294.SZ</t>
  </si>
  <si>
    <t>300292.SZ</t>
  </si>
  <si>
    <t>002657.SZ</t>
  </si>
  <si>
    <t>002656.SZ</t>
  </si>
  <si>
    <t>601929.SH</t>
  </si>
  <si>
    <t>601231.SH</t>
  </si>
  <si>
    <t>002655.SZ</t>
  </si>
  <si>
    <t>002654.SZ</t>
  </si>
  <si>
    <t>300290.SZ</t>
  </si>
  <si>
    <t>601515.SH</t>
  </si>
  <si>
    <t>300288.SZ</t>
  </si>
  <si>
    <t>300289.SZ</t>
  </si>
  <si>
    <t>300291.SZ</t>
  </si>
  <si>
    <t>300287.SZ</t>
  </si>
  <si>
    <t>002652.SZ</t>
  </si>
  <si>
    <t>002653.SZ</t>
  </si>
  <si>
    <t>601313.SH</t>
  </si>
  <si>
    <t>300286.SZ</t>
  </si>
  <si>
    <t>300285.SZ</t>
  </si>
  <si>
    <t>300283.SZ</t>
  </si>
  <si>
    <t>300284.SZ</t>
  </si>
  <si>
    <t>002651.SZ</t>
  </si>
  <si>
    <t>002650.SZ</t>
  </si>
  <si>
    <t>002649.SZ</t>
  </si>
  <si>
    <t>300281.SZ</t>
  </si>
  <si>
    <t>300282.SZ</t>
  </si>
  <si>
    <t>300280.SZ</t>
  </si>
  <si>
    <t>300279.SZ</t>
  </si>
  <si>
    <t>002648.SZ</t>
  </si>
  <si>
    <t>002647.SZ</t>
  </si>
  <si>
    <t>002646.SZ</t>
  </si>
  <si>
    <t>002644.SZ</t>
  </si>
  <si>
    <t>002642.SZ</t>
  </si>
  <si>
    <t>002645.SZ</t>
  </si>
  <si>
    <t>002643.SZ</t>
  </si>
  <si>
    <t>601336.SH</t>
  </si>
  <si>
    <t>300278.SZ</t>
  </si>
  <si>
    <t>601555.SH</t>
  </si>
  <si>
    <t>002641.SZ</t>
  </si>
  <si>
    <t>002640.SZ</t>
  </si>
  <si>
    <t>002634.SZ</t>
  </si>
  <si>
    <t>002639.SZ</t>
  </si>
  <si>
    <t>601928.SH</t>
  </si>
  <si>
    <t>002637.SZ</t>
  </si>
  <si>
    <t>002635.SZ</t>
  </si>
  <si>
    <t>002638.SZ</t>
  </si>
  <si>
    <t>002636.SZ</t>
  </si>
  <si>
    <t>300277.SZ</t>
  </si>
  <si>
    <t>002633.SZ</t>
  </si>
  <si>
    <t>002632.SZ</t>
  </si>
  <si>
    <t>300276.SZ</t>
  </si>
  <si>
    <t>002630.SZ</t>
  </si>
  <si>
    <t>002592.SZ</t>
  </si>
  <si>
    <t>002631.SZ</t>
  </si>
  <si>
    <t>601028.SH</t>
  </si>
  <si>
    <t>002628.SZ</t>
  </si>
  <si>
    <t>002625.SZ</t>
  </si>
  <si>
    <t>002627.SZ</t>
  </si>
  <si>
    <t>002629.SZ</t>
  </si>
  <si>
    <t>300275.SZ</t>
  </si>
  <si>
    <t>300272.SZ</t>
  </si>
  <si>
    <t>300274.SZ</t>
  </si>
  <si>
    <t>601100.SH</t>
  </si>
  <si>
    <t>002624.SZ</t>
  </si>
  <si>
    <t>002626.SZ</t>
  </si>
  <si>
    <t>300271.SZ</t>
  </si>
  <si>
    <t>300273.SZ</t>
  </si>
  <si>
    <t>002489.SZ</t>
  </si>
  <si>
    <t>601669.SH</t>
  </si>
  <si>
    <t>002622.SZ</t>
  </si>
  <si>
    <t>300270.SZ</t>
  </si>
  <si>
    <t>002623.SZ</t>
  </si>
  <si>
    <t>300269.SZ</t>
  </si>
  <si>
    <t>002621.SZ</t>
  </si>
  <si>
    <t>601996.SH</t>
  </si>
  <si>
    <t>002619.SZ</t>
  </si>
  <si>
    <t>002620.SZ</t>
  </si>
  <si>
    <t>601633.SH</t>
  </si>
  <si>
    <t>300266.SZ</t>
  </si>
  <si>
    <t>300267.SZ</t>
  </si>
  <si>
    <t>300268.SZ</t>
  </si>
  <si>
    <t>600030.SH</t>
  </si>
  <si>
    <t>002611.SZ</t>
  </si>
  <si>
    <t>002616.SZ</t>
  </si>
  <si>
    <t>002618.SZ</t>
  </si>
  <si>
    <t>601677.SH</t>
  </si>
  <si>
    <t>300264.SZ</t>
  </si>
  <si>
    <t>300263.SZ</t>
  </si>
  <si>
    <t>300265.SZ</t>
  </si>
  <si>
    <t>002615.SZ</t>
  </si>
  <si>
    <t>002614.SZ</t>
  </si>
  <si>
    <t>601908.SH</t>
  </si>
  <si>
    <t>300261.SZ</t>
  </si>
  <si>
    <t>300260.SZ</t>
  </si>
  <si>
    <t>002613.SZ</t>
  </si>
  <si>
    <t>300259.SZ</t>
  </si>
  <si>
    <t>002612.SZ</t>
  </si>
  <si>
    <t>300258.SZ</t>
  </si>
  <si>
    <t>300254.SZ</t>
  </si>
  <si>
    <t>300255.SZ</t>
  </si>
  <si>
    <t>300257.SZ</t>
  </si>
  <si>
    <t>300256.SZ</t>
  </si>
  <si>
    <t>601886.SH</t>
  </si>
  <si>
    <t>300252.SZ</t>
  </si>
  <si>
    <t>300253.SZ</t>
  </si>
  <si>
    <t>601789.SH</t>
  </si>
  <si>
    <t>002609.SZ</t>
  </si>
  <si>
    <t>002610.SZ</t>
  </si>
  <si>
    <t>601636.SH</t>
  </si>
  <si>
    <t>002608.SZ</t>
  </si>
  <si>
    <t>601901.SH</t>
  </si>
  <si>
    <t>002607.SZ</t>
  </si>
  <si>
    <t>601222.SH</t>
  </si>
  <si>
    <t>002605.SZ</t>
  </si>
  <si>
    <t>002606.SZ</t>
  </si>
  <si>
    <t>300250.SZ</t>
  </si>
  <si>
    <t>300249.SZ</t>
  </si>
  <si>
    <t>300251.SZ</t>
  </si>
  <si>
    <t>300247.SZ</t>
  </si>
  <si>
    <t>300248.SZ</t>
  </si>
  <si>
    <t>002603.SZ</t>
  </si>
  <si>
    <t>002602.SZ</t>
  </si>
  <si>
    <t>002604.SZ</t>
  </si>
  <si>
    <t>300246.SZ</t>
  </si>
  <si>
    <t>300245.SZ</t>
  </si>
  <si>
    <t>300244.SZ</t>
  </si>
  <si>
    <t>002600.SZ</t>
  </si>
  <si>
    <t>002601.SZ</t>
  </si>
  <si>
    <t>002599.SZ</t>
  </si>
  <si>
    <t>300243.SZ</t>
  </si>
  <si>
    <t>300242.SZ</t>
  </si>
  <si>
    <t>300241.SZ</t>
  </si>
  <si>
    <t>002597.SZ</t>
  </si>
  <si>
    <t>002598.SZ</t>
  </si>
  <si>
    <t>002596.SZ</t>
  </si>
  <si>
    <t>300238.SZ</t>
  </si>
  <si>
    <t>300240.SZ</t>
  </si>
  <si>
    <t>300239.SZ</t>
  </si>
  <si>
    <t>601058.SH</t>
  </si>
  <si>
    <t>002594.SZ</t>
  </si>
  <si>
    <t>300236.SZ</t>
  </si>
  <si>
    <t>300235.SZ</t>
  </si>
  <si>
    <t>300237.SZ</t>
  </si>
  <si>
    <t>002595.SZ</t>
  </si>
  <si>
    <t>002593.SZ</t>
  </si>
  <si>
    <t>300232.SZ</t>
  </si>
  <si>
    <t>300234.SZ</t>
  </si>
  <si>
    <t>300233.SZ</t>
  </si>
  <si>
    <t>601798.SH</t>
  </si>
  <si>
    <t>002591.SZ</t>
  </si>
  <si>
    <t>300229.SZ</t>
  </si>
  <si>
    <t>300231.SZ</t>
  </si>
  <si>
    <t>300230.SZ</t>
  </si>
  <si>
    <t>601567.SH</t>
  </si>
  <si>
    <t>002590.SZ</t>
  </si>
  <si>
    <t>002587.SZ</t>
  </si>
  <si>
    <t>002589.SZ</t>
  </si>
  <si>
    <t>002588.SZ</t>
  </si>
  <si>
    <t>300227.SZ</t>
  </si>
  <si>
    <t>300228.SZ</t>
  </si>
  <si>
    <t>300226.SZ</t>
  </si>
  <si>
    <t>601010.SH</t>
  </si>
  <si>
    <t>002584.SZ</t>
  </si>
  <si>
    <t>601311.SH</t>
  </si>
  <si>
    <t>002586.SZ</t>
  </si>
  <si>
    <t>002585.SZ</t>
  </si>
  <si>
    <t>300225.SZ</t>
  </si>
  <si>
    <t>300223.SZ</t>
  </si>
  <si>
    <t>300224.SZ</t>
  </si>
  <si>
    <t>601566.SH</t>
  </si>
  <si>
    <t>601599.SH</t>
  </si>
  <si>
    <t>002583.SZ</t>
  </si>
  <si>
    <t>300220.SZ</t>
  </si>
  <si>
    <t>300221.SZ</t>
  </si>
  <si>
    <t>300222.SZ</t>
  </si>
  <si>
    <t>601208.SH</t>
  </si>
  <si>
    <t>002582.SZ</t>
  </si>
  <si>
    <t>002581.SZ</t>
  </si>
  <si>
    <t>300218.SZ</t>
  </si>
  <si>
    <t>300217.SZ</t>
  </si>
  <si>
    <t>601233.SH</t>
  </si>
  <si>
    <t>300219.SZ</t>
  </si>
  <si>
    <t>300215.SZ</t>
  </si>
  <si>
    <t>300214.SZ</t>
  </si>
  <si>
    <t>300216.SZ</t>
  </si>
  <si>
    <t>601113.SH</t>
  </si>
  <si>
    <t>601607.SH</t>
  </si>
  <si>
    <t>002580.SZ</t>
  </si>
  <si>
    <t>002579.SZ</t>
  </si>
  <si>
    <t>601218.SH</t>
  </si>
  <si>
    <t>300213.SZ</t>
  </si>
  <si>
    <t>300212.SZ</t>
  </si>
  <si>
    <t>300211.SZ</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</si>
</sst>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0"/>
      <color theme="1"/>
      <name val="宋体"/>
      <family val="2"/>
      <charset val="134"/>
      <scheme val="minor"/>
    </font>
    <font>
      <u/>
      <sz val="10"/>
      <color theme="10"/>
      <name val="宋体"/>
      <family val="2"/>
      <charset val="134"/>
      <scheme val="minor"/>
    </font>
    <font>
      <sz val="9"/>
      <name val="宋体"/>
      <family val="2"/>
      <charset val="134"/>
      <scheme val="minor"/>
    </font>
  </fonts>
  <fills count="2">
    <fill>
      <patternFill patternType="none"/>
    </fill>
    <fill>
      <patternFill patternType="gray125"/>
    </fill>
  </fills>
  <borders count="1">
    <border>
      <left/>
      <right/>
      <top/>
      <bottom/>
      <diagonal/>
    </border>
  </borders>
  <cellStyleXfs count="2">
    <xf numFmtId="0" fontId="0" fillId="0" borderId="0">
      <alignment vertical="center"/>
    </xf>
    <xf numFmtId="0" fontId="1" fillId="0" borderId="0" applyNumberFormat="0" applyFill="0" applyBorder="0" applyAlignment="0" applyProtection="0">
      <alignment vertical="center"/>
    </xf>
  </cellStyleXfs>
  <cellXfs count="3">
    <xf numFmtId="0" fontId="0" fillId="0" borderId="0" xfId="0">
      <alignment vertical="center"/>
    </xf>
    <xf numFmtId="14" fontId="0" fillId="0" borderId="0" xfId="0" applyNumberFormat="1">
      <alignment vertical="center"/>
    </xf>
    <xf numFmtId="0" fontId="1" fillId="0" borderId="0" xfId="1">
      <alignment vertical="center"/>
    </xf>
  </cellXfs>
  <cellStyles count="2">
    <cellStyle name="常规" xfId="0" builtinId="0"/>
    <cellStyle name="超链接"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003"/>
  <sheetViews>
    <sheetView tabSelected="1" workbookViewId="0">
      <selection activeCell="H7" sqref="H7"/>
    </sheetView>
  </sheetViews>
  <sheetFormatPr defaultRowHeight="12" x14ac:dyDescent="0.15"/>
  <cols>
    <col min="1" max="1" width="19.7109375" bestFit="1" customWidth="1"/>
  </cols>
  <sheetData>
    <row r="1" spans="1:3" x14ac:dyDescent="0.15">
      <c r="A1" t="s">
        <v>0</v>
      </c>
      <c r="B1" t="s">
        <v>1</v>
      </c>
      <c r="C1" t="s">
        <v>2</v>
      </c>
    </row>
    <row r="2" spans="1:3" x14ac:dyDescent="0.15">
      <c r="A2" s="1">
        <v>41815</v>
      </c>
      <c r="B2" t="s">
        <v>4</v>
      </c>
      <c r="C2" s="2" t="str">
        <f>HYPERLINK("http://snap.windin.com/ns/bulletin.php?id=62086458&amp;type=1", "飞天诚信:首次公开发行股票并在创业板上市上市公告书提示性公告")</f>
        <v>飞天诚信:首次公开发行股票并在创业板上市上市公告书提示性公告</v>
      </c>
    </row>
    <row r="3" spans="1:3" x14ac:dyDescent="0.15">
      <c r="A3" s="1">
        <v>41771</v>
      </c>
      <c r="B3" t="s">
        <v>5</v>
      </c>
      <c r="C3" s="2" t="str">
        <f>HYPERLINK("http://snap.windin.com/ns/bulletin.php?id=49061070&amp;type=1", "中国北车:关于刊发H股招股说明书,H股发行价格区间及H股香港公开发售等相关事宜的公告")</f>
        <v>中国北车:关于刊发H股招股说明书,H股发行价格区间及H股香港公开发售等相关事宜的公告</v>
      </c>
    </row>
    <row r="4" spans="1:3" x14ac:dyDescent="0.15">
      <c r="A4" s="1">
        <v>41694</v>
      </c>
      <c r="B4" t="s">
        <v>6</v>
      </c>
      <c r="C4" s="2" t="str">
        <f>HYPERLINK("http://snap.windin.com/ns/bulletin.php?id=22222482&amp;type=1", "安控股份:首次公开发行股票并在创业板上市招股说明书及上市公告书公告之更正公告")</f>
        <v>安控股份:首次公开发行股票并在创业板上市招股说明书及上市公告书公告之更正公告</v>
      </c>
    </row>
    <row r="5" spans="1:3" x14ac:dyDescent="0.15">
      <c r="A5" s="1">
        <v>41688</v>
      </c>
      <c r="B5" t="s">
        <v>7</v>
      </c>
      <c r="C5" s="2" t="str">
        <f>HYPERLINK("http://snap.windin.com/ns/bulletin.php?id=22190360&amp;type=1", "岭南园林:首次公开发行股票上市公告书")</f>
        <v>岭南园林:首次公开发行股票上市公告书</v>
      </c>
    </row>
    <row r="6" spans="1:3" x14ac:dyDescent="0.15">
      <c r="A6" s="1">
        <v>41688</v>
      </c>
      <c r="B6" t="s">
        <v>8</v>
      </c>
      <c r="C6" s="2" t="str">
        <f>HYPERLINK("http://snap.windin.com/ns/bulletin.php?id=22190346&amp;type=1", "登云股份:首次公开发行股票并上市上市公告书")</f>
        <v>登云股份:首次公开发行股票并上市上市公告书</v>
      </c>
    </row>
    <row r="7" spans="1:3" x14ac:dyDescent="0.15">
      <c r="A7" s="1">
        <v>41688</v>
      </c>
      <c r="B7" t="s">
        <v>9</v>
      </c>
      <c r="C7" s="2" t="str">
        <f>HYPERLINK("http://snap.windin.com/ns/bulletin.php?id=22190338&amp;type=1", "东易日盛:首次公开发行股票上市公告书")</f>
        <v>东易日盛:首次公开发行股票上市公告书</v>
      </c>
    </row>
    <row r="8" spans="1:3" x14ac:dyDescent="0.15">
      <c r="A8" s="1">
        <v>41683</v>
      </c>
      <c r="B8" t="s">
        <v>10</v>
      </c>
      <c r="C8" s="2" t="str">
        <f>HYPERLINK("http://snap.windin.com/ns/bulletin.php?id=22136264&amp;type=1", "新宝股份:首次公开发行股票上市公告书之补充公告")</f>
        <v>新宝股份:首次公开发行股票上市公告书之补充公告</v>
      </c>
    </row>
    <row r="9" spans="1:3" x14ac:dyDescent="0.15">
      <c r="A9" s="1">
        <v>41683</v>
      </c>
      <c r="B9" t="s">
        <v>10</v>
      </c>
      <c r="C9" s="2" t="str">
        <f>HYPERLINK("http://snap.windin.com/ns/bulletin.php?id=22136262&amp;type=1", "新宝股份:首次公开发行股票上市公告书(更新后)")</f>
        <v>新宝股份:首次公开发行股票上市公告书(更新后)</v>
      </c>
    </row>
    <row r="10" spans="1:3" x14ac:dyDescent="0.15">
      <c r="A10" s="1">
        <v>41680</v>
      </c>
      <c r="B10" t="s">
        <v>8</v>
      </c>
      <c r="C10" s="2" t="str">
        <f>HYPERLINK("http://snap.windin.com/ns/bulletin.php?id=22105348&amp;type=1", "登云股份:首次公开发行股票招股说明书(已取消)")</f>
        <v>登云股份:首次公开发行股票招股说明书(已取消)</v>
      </c>
    </row>
    <row r="11" spans="1:3" x14ac:dyDescent="0.15">
      <c r="A11" s="1">
        <v>41680</v>
      </c>
      <c r="B11" t="s">
        <v>8</v>
      </c>
      <c r="C11" s="2" t="str">
        <f>HYPERLINK("http://snap.windin.com/ns/bulletin.php?id=22103636&amp;type=1", "登云股份:首次公开发行股票招股说明书(更新后)")</f>
        <v>登云股份:首次公开发行股票招股说明书(更新后)</v>
      </c>
    </row>
    <row r="12" spans="1:3" x14ac:dyDescent="0.15">
      <c r="A12" s="1">
        <v>41680</v>
      </c>
      <c r="B12" t="s">
        <v>8</v>
      </c>
      <c r="C12" s="2" t="str">
        <f>HYPERLINK("http://snap.windin.com/ns/bulletin.php?id=22103634&amp;type=1", "登云股份:首次公开发行股票招股说明书摘要(更新后)")</f>
        <v>登云股份:首次公开发行股票招股说明书摘要(更新后)</v>
      </c>
    </row>
    <row r="13" spans="1:3" x14ac:dyDescent="0.15">
      <c r="A13" s="1">
        <v>41680</v>
      </c>
      <c r="B13" t="s">
        <v>8</v>
      </c>
      <c r="C13" s="2" t="str">
        <f>HYPERLINK("http://snap.windin.com/ns/bulletin.php?id=22103526&amp;type=1", "登云股份:首次公开发行股票招股说明书")</f>
        <v>登云股份:首次公开发行股票招股说明书</v>
      </c>
    </row>
    <row r="14" spans="1:3" x14ac:dyDescent="0.15">
      <c r="A14" s="1">
        <v>41680</v>
      </c>
      <c r="B14" t="s">
        <v>8</v>
      </c>
      <c r="C14" s="2" t="str">
        <f>HYPERLINK("http://snap.windin.com/ns/bulletin.php?id=22103514&amp;type=1", "登云股份:首次公开发行股票招股说明书摘要")</f>
        <v>登云股份:首次公开发行股票招股说明书摘要</v>
      </c>
    </row>
    <row r="15" spans="1:3" x14ac:dyDescent="0.15">
      <c r="A15" s="1">
        <v>41680</v>
      </c>
      <c r="B15" t="s">
        <v>11</v>
      </c>
      <c r="C15" s="2" t="str">
        <f>HYPERLINK("http://snap.windin.com/ns/bulletin.php?id=22103414&amp;type=1", "海天味业:首次公开发行A股股票上市公告书")</f>
        <v>海天味业:首次公开发行A股股票上市公告书</v>
      </c>
    </row>
    <row r="16" spans="1:3" x14ac:dyDescent="0.15">
      <c r="A16" s="1">
        <v>41670</v>
      </c>
      <c r="B16" t="s">
        <v>12</v>
      </c>
      <c r="C16" s="2" t="str">
        <f>HYPERLINK("http://snap.windin.com/ns/bulletin.php?id=22050986&amp;type=1", "晶方科技:首次公开发行A股股票上市公告书")</f>
        <v>晶方科技:首次公开发行A股股票上市公告书</v>
      </c>
    </row>
    <row r="17" spans="1:3" x14ac:dyDescent="0.15">
      <c r="A17" s="1">
        <v>41669</v>
      </c>
      <c r="B17" t="s">
        <v>13</v>
      </c>
      <c r="C17" s="2" t="str">
        <f>HYPERLINK("http://snap.windin.com/ns/bulletin.php?id=22048066&amp;type=1", "东方通:首次公开发行股票并在创业板上市之上市公告书更正公告")</f>
        <v>东方通:首次公开发行股票并在创业板上市之上市公告书更正公告</v>
      </c>
    </row>
    <row r="18" spans="1:3" x14ac:dyDescent="0.15">
      <c r="A18" s="1">
        <v>41667</v>
      </c>
      <c r="B18" t="s">
        <v>14</v>
      </c>
      <c r="C18" s="2" t="str">
        <f>HYPERLINK("http://snap.windin.com/ns/bulletin.php?id=22014862&amp;type=1", "光环新网:首次公开发行股票并在创业板上市公告书提示性公告")</f>
        <v>光环新网:首次公开发行股票并在创业板上市公告书提示性公告</v>
      </c>
    </row>
    <row r="19" spans="1:3" x14ac:dyDescent="0.15">
      <c r="A19" s="1">
        <v>41667</v>
      </c>
      <c r="B19" t="s">
        <v>14</v>
      </c>
      <c r="C19" s="2" t="str">
        <f>HYPERLINK("http://snap.windin.com/ns/bulletin.php?id=22014832&amp;type=1", "光环新网:首次公开发行股票并在创业板上市之上市公告书")</f>
        <v>光环新网:首次公开发行股票并在创业板上市之上市公告书</v>
      </c>
    </row>
    <row r="20" spans="1:3" x14ac:dyDescent="0.15">
      <c r="A20" s="1">
        <v>41667</v>
      </c>
      <c r="B20" t="s">
        <v>15</v>
      </c>
      <c r="C20" s="2" t="str">
        <f>HYPERLINK("http://snap.windin.com/ns/bulletin.php?id=22014508&amp;type=1", "绿盟科技:首次公开发行股票并在创业板上市之上市公告书提示性公告")</f>
        <v>绿盟科技:首次公开发行股票并在创业板上市之上市公告书提示性公告</v>
      </c>
    </row>
    <row r="21" spans="1:3" x14ac:dyDescent="0.15">
      <c r="A21" s="1">
        <v>41667</v>
      </c>
      <c r="B21" t="s">
        <v>15</v>
      </c>
      <c r="C21" s="2" t="str">
        <f>HYPERLINK("http://snap.windin.com/ns/bulletin.php?id=22014504&amp;type=1", "绿盟科技:首次公开发行股票并在创业板上市之上市公告书")</f>
        <v>绿盟科技:首次公开发行股票并在创业板上市之上市公告书</v>
      </c>
    </row>
    <row r="22" spans="1:3" x14ac:dyDescent="0.15">
      <c r="A22" s="1">
        <v>41667</v>
      </c>
      <c r="B22" t="s">
        <v>16</v>
      </c>
      <c r="C22" s="2" t="str">
        <f>HYPERLINK("http://snap.windin.com/ns/bulletin.php?id=22014426&amp;type=1", "斯莱克:首次公开发行股票并在创业板上市上市公告书")</f>
        <v>斯莱克:首次公开发行股票并在创业板上市上市公告书</v>
      </c>
    </row>
    <row r="23" spans="1:3" x14ac:dyDescent="0.15">
      <c r="A23" s="1">
        <v>41667</v>
      </c>
      <c r="B23" t="s">
        <v>16</v>
      </c>
      <c r="C23" s="2" t="str">
        <f>HYPERLINK("http://snap.windin.com/ns/bulletin.php?id=22014422&amp;type=1", "斯莱克:首次公开发行股票并在创业板上市上市公告书提示性公告")</f>
        <v>斯莱克:首次公开发行股票并在创业板上市上市公告书提示性公告</v>
      </c>
    </row>
    <row r="24" spans="1:3" x14ac:dyDescent="0.15">
      <c r="A24" s="1">
        <v>41667</v>
      </c>
      <c r="B24" t="s">
        <v>17</v>
      </c>
      <c r="C24" s="2" t="str">
        <f>HYPERLINK("http://snap.windin.com/ns/bulletin.php?id=22014074&amp;type=1", "跃岭股份:首次公开发行股票上市公告书")</f>
        <v>跃岭股份:首次公开发行股票上市公告书</v>
      </c>
    </row>
    <row r="25" spans="1:3" x14ac:dyDescent="0.15">
      <c r="A25" s="1">
        <v>41667</v>
      </c>
      <c r="B25" t="s">
        <v>18</v>
      </c>
      <c r="C25" s="2" t="str">
        <f>HYPERLINK("http://snap.windin.com/ns/bulletin.php?id=22014068&amp;type=1", "金莱特:首次公开发行股票之上市公告书")</f>
        <v>金莱特:首次公开发行股票之上市公告书</v>
      </c>
    </row>
    <row r="26" spans="1:3" x14ac:dyDescent="0.15">
      <c r="A26" s="1">
        <v>41667</v>
      </c>
      <c r="B26" t="s">
        <v>19</v>
      </c>
      <c r="C26" s="2" t="str">
        <f>HYPERLINK("http://snap.windin.com/ns/bulletin.php?id=22014066&amp;type=1", "东方网力:首次公开发行股票并在创业板上市公告书")</f>
        <v>东方网力:首次公开发行股票并在创业板上市公告书</v>
      </c>
    </row>
    <row r="27" spans="1:3" x14ac:dyDescent="0.15">
      <c r="A27" s="1">
        <v>41667</v>
      </c>
      <c r="B27" t="s">
        <v>20</v>
      </c>
      <c r="C27" s="2" t="str">
        <f>HYPERLINK("http://snap.windin.com/ns/bulletin.php?id=22014044&amp;type=1", "博腾股份:首次公开发行股票并在创业板上市公告书")</f>
        <v>博腾股份:首次公开发行股票并在创业板上市公告书</v>
      </c>
    </row>
    <row r="28" spans="1:3" x14ac:dyDescent="0.15">
      <c r="A28" s="1">
        <v>41667</v>
      </c>
      <c r="B28" t="s">
        <v>19</v>
      </c>
      <c r="C28" s="2" t="str">
        <f>HYPERLINK("http://snap.windin.com/ns/bulletin.php?id=22014040&amp;type=1", "东方网力:首次公开发行股票并在创业板上市之上市公告书提示性公告")</f>
        <v>东方网力:首次公开发行股票并在创业板上市之上市公告书提示性公告</v>
      </c>
    </row>
    <row r="29" spans="1:3" x14ac:dyDescent="0.15">
      <c r="A29" s="1">
        <v>41667</v>
      </c>
      <c r="B29" t="s">
        <v>20</v>
      </c>
      <c r="C29" s="2" t="str">
        <f>HYPERLINK("http://snap.windin.com/ns/bulletin.php?id=22014032&amp;type=1", "博腾股份:首次公开发行股票并在创业板上市公告书提示性公告")</f>
        <v>博腾股份:首次公开发行股票并在创业板上市公告书提示性公告</v>
      </c>
    </row>
    <row r="30" spans="1:3" x14ac:dyDescent="0.15">
      <c r="A30" s="1">
        <v>41666</v>
      </c>
      <c r="B30" t="s">
        <v>21</v>
      </c>
      <c r="C30" s="2" t="str">
        <f>HYPERLINK("http://snap.windin.com/ns/bulletin.php?id=22006834&amp;type=1", "金贵银业:首次公开发行股票上市公告书(更新后)")</f>
        <v>金贵银业:首次公开发行股票上市公告书(更新后)</v>
      </c>
    </row>
    <row r="31" spans="1:3" x14ac:dyDescent="0.15">
      <c r="A31" s="1">
        <v>41666</v>
      </c>
      <c r="B31" t="s">
        <v>21</v>
      </c>
      <c r="C31" s="2" t="str">
        <f>HYPERLINK("http://snap.windin.com/ns/bulletin.php?id=22006832&amp;type=1", "金贵银业:首次发行股票上市公告书之更正公告")</f>
        <v>金贵银业:首次发行股票上市公告书之更正公告</v>
      </c>
    </row>
    <row r="32" spans="1:3" x14ac:dyDescent="0.15">
      <c r="A32" s="1">
        <v>41666</v>
      </c>
      <c r="B32" t="s">
        <v>21</v>
      </c>
      <c r="C32" s="2" t="str">
        <f>HYPERLINK("http://snap.windin.com/ns/bulletin.php?id=22005384&amp;type=1", "金贵银业:首次公开发行股票上市公告书")</f>
        <v>金贵银业:首次公开发行股票上市公告书</v>
      </c>
    </row>
    <row r="33" spans="1:3" x14ac:dyDescent="0.15">
      <c r="A33" s="1">
        <v>41666</v>
      </c>
      <c r="B33" t="s">
        <v>22</v>
      </c>
      <c r="C33" s="2" t="str">
        <f>HYPERLINK("http://snap.windin.com/ns/bulletin.php?id=22005380&amp;type=1", "溢多利:首次公开发行股票并在创业板上市之上市公告书")</f>
        <v>溢多利:首次公开发行股票并在创业板上市之上市公告书</v>
      </c>
    </row>
    <row r="34" spans="1:3" x14ac:dyDescent="0.15">
      <c r="A34" s="1">
        <v>41666</v>
      </c>
      <c r="B34" t="s">
        <v>13</v>
      </c>
      <c r="C34" s="2" t="str">
        <f>HYPERLINK("http://snap.windin.com/ns/bulletin.php?id=22005376&amp;type=1", "东方通:首次公开发行股票并在创业板上市之上市公告书")</f>
        <v>东方通:首次公开发行股票并在创业板上市之上市公告书</v>
      </c>
    </row>
    <row r="35" spans="1:3" x14ac:dyDescent="0.15">
      <c r="A35" s="1">
        <v>41666</v>
      </c>
      <c r="B35" t="s">
        <v>22</v>
      </c>
      <c r="C35" s="2" t="str">
        <f>HYPERLINK("http://snap.windin.com/ns/bulletin.php?id=22005372&amp;type=1", "溢多利:首次公开发行股票并在创业板上市之上市公告书提示性公告")</f>
        <v>溢多利:首次公开发行股票并在创业板上市之上市公告书提示性公告</v>
      </c>
    </row>
    <row r="36" spans="1:3" x14ac:dyDescent="0.15">
      <c r="A36" s="1">
        <v>41666</v>
      </c>
      <c r="B36" t="s">
        <v>13</v>
      </c>
      <c r="C36" s="2" t="str">
        <f>HYPERLINK("http://snap.windin.com/ns/bulletin.php?id=22005370&amp;type=1", "东方通:首次公开发行股票并在创业板上市公告书提示性公告")</f>
        <v>东方通:首次公开发行股票并在创业板上市公告书提示性公告</v>
      </c>
    </row>
    <row r="37" spans="1:3" x14ac:dyDescent="0.15">
      <c r="A37" s="1">
        <v>41666</v>
      </c>
      <c r="B37" t="s">
        <v>23</v>
      </c>
      <c r="C37" s="2" t="str">
        <f>HYPERLINK("http://snap.windin.com/ns/bulletin.php?id=22004610&amp;type=1", "金轮股份:首次公开发行股票上市公告书")</f>
        <v>金轮股份:首次公开发行股票上市公告书</v>
      </c>
    </row>
    <row r="38" spans="1:3" x14ac:dyDescent="0.15">
      <c r="A38" s="1">
        <v>41666</v>
      </c>
      <c r="B38" t="s">
        <v>24</v>
      </c>
      <c r="C38" s="2" t="str">
        <f>HYPERLINK("http://snap.windin.com/ns/bulletin.php?id=22004608&amp;type=1", "牧原股份:首次公开发行股票上市公告书")</f>
        <v>牧原股份:首次公开发行股票上市公告书</v>
      </c>
    </row>
    <row r="39" spans="1:3" x14ac:dyDescent="0.15">
      <c r="A39" s="1">
        <v>41666</v>
      </c>
      <c r="B39" t="s">
        <v>25</v>
      </c>
      <c r="C39" s="2" t="str">
        <f>HYPERLINK("http://snap.windin.com/ns/bulletin.php?id=22004602&amp;type=1", "麦趣尔:首次公开发行股票上市公告书")</f>
        <v>麦趣尔:首次公开发行股票上市公告书</v>
      </c>
    </row>
    <row r="40" spans="1:3" x14ac:dyDescent="0.15">
      <c r="A40" s="1">
        <v>41666</v>
      </c>
      <c r="B40" t="s">
        <v>26</v>
      </c>
      <c r="C40" s="2" t="str">
        <f>HYPERLINK("http://snap.windin.com/ns/bulletin.php?id=22004594&amp;type=1", "安硕信息:首次公开发行股票并在创业板上市之上市公告书")</f>
        <v>安硕信息:首次公开发行股票并在创业板上市之上市公告书</v>
      </c>
    </row>
    <row r="41" spans="1:3" x14ac:dyDescent="0.15">
      <c r="A41" s="1">
        <v>41666</v>
      </c>
      <c r="B41" t="s">
        <v>26</v>
      </c>
      <c r="C41" s="2" t="str">
        <f>HYPERLINK("http://snap.windin.com/ns/bulletin.php?id=22004588&amp;type=1", "安硕信息:首次公开发行股票并在创业板上市上市公告书提示性公告")</f>
        <v>安硕信息:首次公开发行股票并在创业板上市上市公告书提示性公告</v>
      </c>
    </row>
    <row r="42" spans="1:3" x14ac:dyDescent="0.15">
      <c r="A42" s="1">
        <v>41666</v>
      </c>
      <c r="B42" t="s">
        <v>27</v>
      </c>
      <c r="C42" s="2" t="str">
        <f>HYPERLINK("http://snap.windin.com/ns/bulletin.php?id=22004566&amp;type=1", "友邦吊顶:首次公开发行股票上市公告书")</f>
        <v>友邦吊顶:首次公开发行股票上市公告书</v>
      </c>
    </row>
    <row r="43" spans="1:3" x14ac:dyDescent="0.15">
      <c r="A43" s="1">
        <v>41666</v>
      </c>
      <c r="B43" t="s">
        <v>28</v>
      </c>
      <c r="C43" s="2" t="str">
        <f>HYPERLINK("http://snap.windin.com/ns/bulletin.php?id=22004160&amp;type=1", "陕西煤业:首次公开发行A股股票招股说明书(更新稿)")</f>
        <v>陕西煤业:首次公开发行A股股票招股说明书(更新稿)</v>
      </c>
    </row>
    <row r="44" spans="1:3" x14ac:dyDescent="0.15">
      <c r="A44" s="1">
        <v>41666</v>
      </c>
      <c r="B44" t="s">
        <v>28</v>
      </c>
      <c r="C44" s="2" t="str">
        <f>HYPERLINK("http://snap.windin.com/ns/bulletin.php?id=22004148&amp;type=1", "陕西煤业:首次公开发行A股股票上市公告书")</f>
        <v>陕西煤业:首次公开发行A股股票上市公告书</v>
      </c>
    </row>
    <row r="45" spans="1:3" x14ac:dyDescent="0.15">
      <c r="A45" s="1">
        <v>41666</v>
      </c>
      <c r="B45" t="s">
        <v>28</v>
      </c>
      <c r="C45" s="2" t="str">
        <f>HYPERLINK("http://snap.windin.com/ns/bulletin.php?id=22004136&amp;type=1", "陕西煤业:首次公开发行A股股票招股说明书摘要(更新稿)")</f>
        <v>陕西煤业:首次公开发行A股股票招股说明书摘要(更新稿)</v>
      </c>
    </row>
    <row r="46" spans="1:3" x14ac:dyDescent="0.15">
      <c r="A46" s="1">
        <v>41663</v>
      </c>
      <c r="B46" t="s">
        <v>29</v>
      </c>
      <c r="C46" s="2" t="str">
        <f>HYPERLINK("http://snap.windin.com/ns/bulletin.php?id=21980876&amp;type=1", "欧浦钢网:关于公司首次公开发行股票上市公告书之更正公告")</f>
        <v>欧浦钢网:关于公司首次公开发行股票上市公告书之更正公告</v>
      </c>
    </row>
    <row r="47" spans="1:3" x14ac:dyDescent="0.15">
      <c r="A47" s="1">
        <v>41663</v>
      </c>
      <c r="B47" t="s">
        <v>29</v>
      </c>
      <c r="C47" s="2" t="str">
        <f>HYPERLINK("http://snap.windin.com/ns/bulletin.php?id=21980874&amp;type=1", "欧浦钢网:首次公开发行股票上市公告书(更新后)")</f>
        <v>欧浦钢网:首次公开发行股票上市公告书(更新后)</v>
      </c>
    </row>
    <row r="48" spans="1:3" x14ac:dyDescent="0.15">
      <c r="A48" s="1">
        <v>41663</v>
      </c>
      <c r="B48" t="s">
        <v>30</v>
      </c>
      <c r="C48" s="2" t="str">
        <f>HYPERLINK("http://snap.windin.com/ns/bulletin.php?id=21980226&amp;type=1", "欣泰电气:首次公开发行股票并在创业板上市公告书提示性公告")</f>
        <v>欣泰电气:首次公开发行股票并在创业板上市公告书提示性公告</v>
      </c>
    </row>
    <row r="49" spans="1:3" x14ac:dyDescent="0.15">
      <c r="A49" s="1">
        <v>41663</v>
      </c>
      <c r="B49" t="s">
        <v>30</v>
      </c>
      <c r="C49" s="2" t="str">
        <f>HYPERLINK("http://snap.windin.com/ns/bulletin.php?id=21980218&amp;type=1", "欣泰电气:首次公开发行股票并在创业板上市公告书")</f>
        <v>欣泰电气:首次公开发行股票并在创业板上市公告书</v>
      </c>
    </row>
    <row r="50" spans="1:3" x14ac:dyDescent="0.15">
      <c r="A50" s="1">
        <v>41663</v>
      </c>
      <c r="B50" t="s">
        <v>31</v>
      </c>
      <c r="C50" s="2" t="str">
        <f>HYPERLINK("http://snap.windin.com/ns/bulletin.php?id=21980198&amp;type=1", "创意信息:首次公开发行股票并在创业板上市之上市公告书")</f>
        <v>创意信息:首次公开发行股票并在创业板上市之上市公告书</v>
      </c>
    </row>
    <row r="51" spans="1:3" x14ac:dyDescent="0.15">
      <c r="A51" s="1">
        <v>41663</v>
      </c>
      <c r="B51" t="s">
        <v>32</v>
      </c>
      <c r="C51" s="2" t="str">
        <f>HYPERLINK("http://snap.windin.com/ns/bulletin.php?id=21980192&amp;type=1", "赢时胜:首次公开发行股票并在创业板上市之上市公告书提示性公告")</f>
        <v>赢时胜:首次公开发行股票并在创业板上市之上市公告书提示性公告</v>
      </c>
    </row>
    <row r="52" spans="1:3" x14ac:dyDescent="0.15">
      <c r="A52" s="1">
        <v>41663</v>
      </c>
      <c r="B52" t="s">
        <v>32</v>
      </c>
      <c r="C52" s="2" t="str">
        <f>HYPERLINK("http://snap.windin.com/ns/bulletin.php?id=21980190&amp;type=1", "赢时胜:首次公开发行股票并在创业板上市之上市公告书")</f>
        <v>赢时胜:首次公开发行股票并在创业板上市之上市公告书</v>
      </c>
    </row>
    <row r="53" spans="1:3" x14ac:dyDescent="0.15">
      <c r="A53" s="1">
        <v>41663</v>
      </c>
      <c r="B53" t="s">
        <v>31</v>
      </c>
      <c r="C53" s="2" t="str">
        <f>HYPERLINK("http://snap.windin.com/ns/bulletin.php?id=21980118&amp;type=1", "创意信息:首次公开发行股票并在创业板上市公告书提示性公告")</f>
        <v>创意信息:首次公开发行股票并在创业板上市公告书提示性公告</v>
      </c>
    </row>
    <row r="54" spans="1:3" x14ac:dyDescent="0.15">
      <c r="A54" s="1">
        <v>41663</v>
      </c>
      <c r="B54" t="s">
        <v>33</v>
      </c>
      <c r="C54" s="2" t="str">
        <f>HYPERLINK("http://snap.windin.com/ns/bulletin.php?id=21979652&amp;type=1", "易事特:首次公开发行股票并在创业板上市公告书提示性公告")</f>
        <v>易事特:首次公开发行股票并在创业板上市公告书提示性公告</v>
      </c>
    </row>
    <row r="55" spans="1:3" x14ac:dyDescent="0.15">
      <c r="A55" s="1">
        <v>41663</v>
      </c>
      <c r="B55" t="s">
        <v>33</v>
      </c>
      <c r="C55" s="2" t="str">
        <f>HYPERLINK("http://snap.windin.com/ns/bulletin.php?id=21979628&amp;type=1", "易事特:首次公开发行股票并在创业板上市之上市公告书")</f>
        <v>易事特:首次公开发行股票并在创业板上市之上市公告书</v>
      </c>
    </row>
    <row r="56" spans="1:3" x14ac:dyDescent="0.15">
      <c r="A56" s="1">
        <v>41663</v>
      </c>
      <c r="B56" t="s">
        <v>29</v>
      </c>
      <c r="C56" s="2" t="str">
        <f>HYPERLINK("http://snap.windin.com/ns/bulletin.php?id=21979512&amp;type=1", "欧浦钢网:首次公开发行股票上市公告书")</f>
        <v>欧浦钢网:首次公开发行股票上市公告书</v>
      </c>
    </row>
    <row r="57" spans="1:3" x14ac:dyDescent="0.15">
      <c r="A57" s="1">
        <v>41663</v>
      </c>
      <c r="B57" t="s">
        <v>34</v>
      </c>
      <c r="C57" s="2" t="str">
        <f>HYPERLINK("http://snap.windin.com/ns/bulletin.php?id=21979438&amp;type=1", "鼎捷软件:首次公开发行股票并在创业板上市之上市公告书")</f>
        <v>鼎捷软件:首次公开发行股票并在创业板上市之上市公告书</v>
      </c>
    </row>
    <row r="58" spans="1:3" x14ac:dyDescent="0.15">
      <c r="A58" s="1">
        <v>41663</v>
      </c>
      <c r="B58" t="s">
        <v>34</v>
      </c>
      <c r="C58" s="2" t="str">
        <f>HYPERLINK("http://snap.windin.com/ns/bulletin.php?id=21979356&amp;type=1", "鼎捷软件:首次公开发行股票并在创业板上市之上市公告书提示性公告")</f>
        <v>鼎捷软件:首次公开发行股票并在创业板上市之上市公告书提示性公告</v>
      </c>
    </row>
    <row r="59" spans="1:3" x14ac:dyDescent="0.15">
      <c r="A59" s="1">
        <v>41663</v>
      </c>
      <c r="B59" t="s">
        <v>35</v>
      </c>
      <c r="C59" s="2" t="str">
        <f>HYPERLINK("http://snap.windin.com/ns/bulletin.php?id=21979346&amp;type=1", "金一文化:首次公开发行股票上市公告书")</f>
        <v>金一文化:首次公开发行股票上市公告书</v>
      </c>
    </row>
    <row r="60" spans="1:3" x14ac:dyDescent="0.15">
      <c r="A60" s="1">
        <v>41663</v>
      </c>
      <c r="B60" t="s">
        <v>36</v>
      </c>
      <c r="C60" s="2" t="str">
        <f>HYPERLINK("http://snap.windin.com/ns/bulletin.php?id=21978490&amp;type=1", "鹏翎股份:首次公开发行股票并在创业板上市公告书提示性公告")</f>
        <v>鹏翎股份:首次公开发行股票并在创业板上市公告书提示性公告</v>
      </c>
    </row>
    <row r="61" spans="1:3" x14ac:dyDescent="0.15">
      <c r="A61" s="1">
        <v>41663</v>
      </c>
      <c r="B61" t="s">
        <v>36</v>
      </c>
      <c r="C61" s="2" t="str">
        <f>HYPERLINK("http://snap.windin.com/ns/bulletin.php?id=21978484&amp;type=1", "鹏翎股份:首次公开发行股票并在创业板上市上市公告书")</f>
        <v>鹏翎股份:首次公开发行股票并在创业板上市上市公告书</v>
      </c>
    </row>
    <row r="62" spans="1:3" x14ac:dyDescent="0.15">
      <c r="A62" s="1">
        <v>41663</v>
      </c>
      <c r="B62" t="s">
        <v>11</v>
      </c>
      <c r="C62" s="2" t="str">
        <f>HYPERLINK("http://snap.windin.com/ns/bulletin.php?id=21978334&amp;type=1", "海天味业:首次公开发行股票招股说明书(更新版)")</f>
        <v>海天味业:首次公开发行股票招股说明书(更新版)</v>
      </c>
    </row>
    <row r="63" spans="1:3" x14ac:dyDescent="0.15">
      <c r="A63" s="1">
        <v>41663</v>
      </c>
      <c r="B63" t="s">
        <v>11</v>
      </c>
      <c r="C63" s="2" t="str">
        <f>HYPERLINK("http://snap.windin.com/ns/bulletin.php?id=21978254&amp;type=1", "海天味业:首次公开发行股票招股说明书摘要(更新版)")</f>
        <v>海天味业:首次公开发行股票招股说明书摘要(更新版)</v>
      </c>
    </row>
    <row r="64" spans="1:3" x14ac:dyDescent="0.15">
      <c r="A64" s="1">
        <v>41662</v>
      </c>
      <c r="B64" t="s">
        <v>11</v>
      </c>
      <c r="C64" s="2" t="str">
        <f>HYPERLINK("http://snap.windin.com/ns/bulletin.php?id=21966190&amp;type=1", "海天味业:首次公开发行股票招股说明书")</f>
        <v>海天味业:首次公开发行股票招股说明书</v>
      </c>
    </row>
    <row r="65" spans="1:3" x14ac:dyDescent="0.15">
      <c r="A65" s="1">
        <v>41662</v>
      </c>
      <c r="B65" t="s">
        <v>11</v>
      </c>
      <c r="C65" s="2" t="str">
        <f>HYPERLINK("http://snap.windin.com/ns/bulletin.php?id=21965932&amp;type=1", "海天味业:首次公开发行股票招股说明书摘要")</f>
        <v>海天味业:首次公开发行股票招股说明书摘要</v>
      </c>
    </row>
    <row r="66" spans="1:3" x14ac:dyDescent="0.15">
      <c r="A66" s="1">
        <v>41662</v>
      </c>
      <c r="B66" t="s">
        <v>37</v>
      </c>
      <c r="C66" s="2" t="str">
        <f>HYPERLINK("http://snap.windin.com/ns/bulletin.php?id=21964846&amp;type=1", "贵人鸟:首次公开发行A股股票上市公告书")</f>
        <v>贵人鸟:首次公开发行A股股票上市公告书</v>
      </c>
    </row>
    <row r="67" spans="1:3" x14ac:dyDescent="0.15">
      <c r="A67" s="1">
        <v>41661</v>
      </c>
      <c r="B67" t="s">
        <v>38</v>
      </c>
      <c r="C67" s="2" t="str">
        <f>HYPERLINK("http://snap.windin.com/ns/bulletin.php?id=21953680&amp;type=1", "思美传媒:首次公开发行股票上市公告书")</f>
        <v>思美传媒:首次公开发行股票上市公告书</v>
      </c>
    </row>
    <row r="68" spans="1:3" x14ac:dyDescent="0.15">
      <c r="A68" s="1">
        <v>41661</v>
      </c>
      <c r="B68" t="s">
        <v>39</v>
      </c>
      <c r="C68" s="2" t="str">
        <f>HYPERLINK("http://snap.windin.com/ns/bulletin.php?id=21953672&amp;type=1", "恒华科技:首次公开发行股票并在创业板上市公告书提示性公告")</f>
        <v>恒华科技:首次公开发行股票并在创业板上市公告书提示性公告</v>
      </c>
    </row>
    <row r="69" spans="1:3" x14ac:dyDescent="0.15">
      <c r="A69" s="1">
        <v>41661</v>
      </c>
      <c r="B69" t="s">
        <v>39</v>
      </c>
      <c r="C69" s="2" t="str">
        <f>HYPERLINK("http://snap.windin.com/ns/bulletin.php?id=21953668&amp;type=1", "恒华科技:首次公开发行股票并在创业板上市之上市公告书")</f>
        <v>恒华科技:首次公开发行股票并在创业板上市之上市公告书</v>
      </c>
    </row>
    <row r="70" spans="1:3" x14ac:dyDescent="0.15">
      <c r="A70" s="1">
        <v>41661</v>
      </c>
      <c r="B70" t="s">
        <v>40</v>
      </c>
      <c r="C70" s="2" t="str">
        <f>HYPERLINK("http://snap.windin.com/ns/bulletin.php?id=21952992&amp;type=1", "汇中股份:首次公开发行股票并在创业板上市之上市公告书")</f>
        <v>汇中股份:首次公开发行股票并在创业板上市之上市公告书</v>
      </c>
    </row>
    <row r="71" spans="1:3" x14ac:dyDescent="0.15">
      <c r="A71" s="1">
        <v>41661</v>
      </c>
      <c r="B71" t="s">
        <v>41</v>
      </c>
      <c r="C71" s="2" t="str">
        <f>HYPERLINK("http://snap.windin.com/ns/bulletin.php?id=21952982&amp;type=1", "天赐材料:首次公开发行股票上市公告书")</f>
        <v>天赐材料:首次公开发行股票上市公告书</v>
      </c>
    </row>
    <row r="72" spans="1:3" x14ac:dyDescent="0.15">
      <c r="A72" s="1">
        <v>41661</v>
      </c>
      <c r="B72" t="s">
        <v>40</v>
      </c>
      <c r="C72" s="2" t="str">
        <f>HYPERLINK("http://snap.windin.com/ns/bulletin.php?id=21952980&amp;type=1", "汇中股份:首次公开发行股票并在创业板上市之上市公告书提示性公告")</f>
        <v>汇中股份:首次公开发行股票并在创业板上市之上市公告书提示性公告</v>
      </c>
    </row>
    <row r="73" spans="1:3" x14ac:dyDescent="0.15">
      <c r="A73" s="1">
        <v>41661</v>
      </c>
      <c r="B73" t="s">
        <v>42</v>
      </c>
      <c r="C73" s="2" t="str">
        <f>HYPERLINK("http://snap.windin.com/ns/bulletin.php?id=21952978&amp;type=1", "众信旅游:首次公开发行股票上市公告书")</f>
        <v>众信旅游:首次公开发行股票上市公告书</v>
      </c>
    </row>
    <row r="74" spans="1:3" x14ac:dyDescent="0.15">
      <c r="A74" s="1">
        <v>41661</v>
      </c>
      <c r="B74" t="s">
        <v>6</v>
      </c>
      <c r="C74" s="2" t="str">
        <f>HYPERLINK("http://snap.windin.com/ns/bulletin.php?id=21952178&amp;type=1", "安控股份:首次公开发行股票并在创业板上市公告书")</f>
        <v>安控股份:首次公开发行股票并在创业板上市公告书</v>
      </c>
    </row>
    <row r="75" spans="1:3" x14ac:dyDescent="0.15">
      <c r="A75" s="1">
        <v>41661</v>
      </c>
      <c r="B75" t="s">
        <v>43</v>
      </c>
      <c r="C75" s="2" t="str">
        <f>HYPERLINK("http://snap.windin.com/ns/bulletin.php?id=21952176&amp;type=1", "扬杰科技:首次公开发行股票并在创业板上市之上市公告书")</f>
        <v>扬杰科技:首次公开发行股票并在创业板上市之上市公告书</v>
      </c>
    </row>
    <row r="76" spans="1:3" x14ac:dyDescent="0.15">
      <c r="A76" s="1">
        <v>41661</v>
      </c>
      <c r="B76" t="s">
        <v>44</v>
      </c>
      <c r="C76" s="2" t="str">
        <f>HYPERLINK("http://snap.windin.com/ns/bulletin.php?id=21952152&amp;type=1", "汇金股份:首次公开发行股票并在创业板上市之上市公告书")</f>
        <v>汇金股份:首次公开发行股票并在创业板上市之上市公告书</v>
      </c>
    </row>
    <row r="77" spans="1:3" x14ac:dyDescent="0.15">
      <c r="A77" s="1">
        <v>41661</v>
      </c>
      <c r="B77" t="s">
        <v>6</v>
      </c>
      <c r="C77" s="2" t="str">
        <f>HYPERLINK("http://snap.windin.com/ns/bulletin.php?id=21952142&amp;type=1", "安控股份:首次公开发行股票并在创业板上市公告书提示性公告")</f>
        <v>安控股份:首次公开发行股票并在创业板上市公告书提示性公告</v>
      </c>
    </row>
    <row r="78" spans="1:3" x14ac:dyDescent="0.15">
      <c r="A78" s="1">
        <v>41661</v>
      </c>
      <c r="B78" t="s">
        <v>44</v>
      </c>
      <c r="C78" s="2" t="str">
        <f>HYPERLINK("http://snap.windin.com/ns/bulletin.php?id=21952120&amp;type=1", "汇金股份:首次公开发行股票并在创业板上市上市公告书提示性公告")</f>
        <v>汇金股份:首次公开发行股票并在创业板上市上市公告书提示性公告</v>
      </c>
    </row>
    <row r="79" spans="1:3" x14ac:dyDescent="0.15">
      <c r="A79" s="1">
        <v>41661</v>
      </c>
      <c r="B79" t="s">
        <v>43</v>
      </c>
      <c r="C79" s="2" t="str">
        <f>HYPERLINK("http://snap.windin.com/ns/bulletin.php?id=21952112&amp;type=1", "扬杰科技:首次公开发行股票并在创业板上市上市公告书提示公告")</f>
        <v>扬杰科技:首次公开发行股票并在创业板上市上市公告书提示公告</v>
      </c>
    </row>
    <row r="80" spans="1:3" x14ac:dyDescent="0.15">
      <c r="A80" s="1">
        <v>41661</v>
      </c>
      <c r="B80" t="s">
        <v>12</v>
      </c>
      <c r="C80" s="2" t="str">
        <f>HYPERLINK("http://snap.windin.com/ns/bulletin.php?id=21949548&amp;type=1", "晶方科技:首次公开发行股票招股说明书(更新版)")</f>
        <v>晶方科技:首次公开发行股票招股说明书(更新版)</v>
      </c>
    </row>
    <row r="81" spans="1:3" x14ac:dyDescent="0.15">
      <c r="A81" s="1">
        <v>41661</v>
      </c>
      <c r="B81" t="s">
        <v>12</v>
      </c>
      <c r="C81" s="2" t="str">
        <f>HYPERLINK("http://snap.windin.com/ns/bulletin.php?id=21949542&amp;type=1", "晶方科技:首次公开发行股票招股说明书摘要(更新版)")</f>
        <v>晶方科技:首次公开发行股票招股说明书摘要(更新版)</v>
      </c>
    </row>
    <row r="82" spans="1:3" x14ac:dyDescent="0.15">
      <c r="A82" s="1">
        <v>41660</v>
      </c>
      <c r="B82" t="s">
        <v>45</v>
      </c>
      <c r="C82" s="2" t="str">
        <f>HYPERLINK("http://snap.windin.com/ns/bulletin.php?id=21941896&amp;type=1", "应流股份:首次公开发行A股股票上市公告书")</f>
        <v>应流股份:首次公开发行A股股票上市公告书</v>
      </c>
    </row>
    <row r="83" spans="1:3" x14ac:dyDescent="0.15">
      <c r="A83" s="1">
        <v>41659</v>
      </c>
      <c r="B83" t="s">
        <v>46</v>
      </c>
      <c r="C83" s="2" t="str">
        <f>HYPERLINK("http://snap.windin.com/ns/bulletin.php?id=21933612&amp;type=1", "我武生物:首次公开发行股票并在创业板上市之上市公告书提示性公告")</f>
        <v>我武生物:首次公开发行股票并在创业板上市之上市公告书提示性公告</v>
      </c>
    </row>
    <row r="84" spans="1:3" x14ac:dyDescent="0.15">
      <c r="A84" s="1">
        <v>41659</v>
      </c>
      <c r="B84" t="s">
        <v>46</v>
      </c>
      <c r="C84" s="2" t="str">
        <f>HYPERLINK("http://snap.windin.com/ns/bulletin.php?id=21933610&amp;type=1", "我武生物:首次公开发行股票并在创业板上市之上市公告书")</f>
        <v>我武生物:首次公开发行股票并在创业板上市之上市公告书</v>
      </c>
    </row>
    <row r="85" spans="1:3" x14ac:dyDescent="0.15">
      <c r="A85" s="1">
        <v>41659</v>
      </c>
      <c r="B85" t="s">
        <v>10</v>
      </c>
      <c r="C85" s="2" t="str">
        <f>HYPERLINK("http://snap.windin.com/ns/bulletin.php?id=21933540&amp;type=1", "新宝股份:首次公开发行股票上市公告书")</f>
        <v>新宝股份:首次公开发行股票上市公告书</v>
      </c>
    </row>
    <row r="86" spans="1:3" x14ac:dyDescent="0.15">
      <c r="A86" s="1">
        <v>41659</v>
      </c>
      <c r="B86" t="s">
        <v>47</v>
      </c>
      <c r="C86" s="2" t="str">
        <f>HYPERLINK("http://snap.windin.com/ns/bulletin.php?id=21933470&amp;type=1", "炬华科技:首次公开发行股票并在创业板上市之上市公告书")</f>
        <v>炬华科技:首次公开发行股票并在创业板上市之上市公告书</v>
      </c>
    </row>
    <row r="87" spans="1:3" x14ac:dyDescent="0.15">
      <c r="A87" s="1">
        <v>41659</v>
      </c>
      <c r="B87" t="s">
        <v>48</v>
      </c>
      <c r="C87" s="2" t="str">
        <f>HYPERLINK("http://snap.windin.com/ns/bulletin.php?id=21933466&amp;type=1", "全通教育:首次公开发行股票并在创业板上市之上市公告书")</f>
        <v>全通教育:首次公开发行股票并在创业板上市之上市公告书</v>
      </c>
    </row>
    <row r="88" spans="1:3" x14ac:dyDescent="0.15">
      <c r="A88" s="1">
        <v>41659</v>
      </c>
      <c r="B88" t="s">
        <v>48</v>
      </c>
      <c r="C88" s="2" t="str">
        <f>HYPERLINK("http://snap.windin.com/ns/bulletin.php?id=21933462&amp;type=1", "全通教育:首次公开发行股票并在创业板上市公告书提示性公告")</f>
        <v>全通教育:首次公开发行股票并在创业板上市公告书提示性公告</v>
      </c>
    </row>
    <row r="89" spans="1:3" x14ac:dyDescent="0.15">
      <c r="A89" s="1">
        <v>41659</v>
      </c>
      <c r="B89" t="s">
        <v>47</v>
      </c>
      <c r="C89" s="2" t="str">
        <f>HYPERLINK("http://snap.windin.com/ns/bulletin.php?id=21933458&amp;type=1", "炬华科技:首次公开发行股票并在创业板上市公告书提示性公告")</f>
        <v>炬华科技:首次公开发行股票并在创业板上市公告书提示性公告</v>
      </c>
    </row>
    <row r="90" spans="1:3" x14ac:dyDescent="0.15">
      <c r="A90" s="1">
        <v>41659</v>
      </c>
      <c r="B90" t="s">
        <v>49</v>
      </c>
      <c r="C90" s="2" t="str">
        <f>HYPERLINK("http://snap.windin.com/ns/bulletin.php?id=21933384&amp;type=1", "天保重装:首次公开发行股票并在创业板上市上市公告书")</f>
        <v>天保重装:首次公开发行股票并在创业板上市上市公告书</v>
      </c>
    </row>
    <row r="91" spans="1:3" x14ac:dyDescent="0.15">
      <c r="A91" s="1">
        <v>41659</v>
      </c>
      <c r="B91" t="s">
        <v>14</v>
      </c>
      <c r="C91" s="2" t="str">
        <f>HYPERLINK("http://snap.windin.com/ns/bulletin.php?id=21933382&amp;type=1", "光环新网:首次公开发行股票并在创业板上市招股说明书")</f>
        <v>光环新网:首次公开发行股票并在创业板上市招股说明书</v>
      </c>
    </row>
    <row r="92" spans="1:3" x14ac:dyDescent="0.15">
      <c r="A92" s="1">
        <v>41659</v>
      </c>
      <c r="B92" t="s">
        <v>49</v>
      </c>
      <c r="C92" s="2" t="str">
        <f>HYPERLINK("http://snap.windin.com/ns/bulletin.php?id=21933362&amp;type=1", "天保重装:首次公开发行股票并在创业板上市公告书提示性公告")</f>
        <v>天保重装:首次公开发行股票并在创业板上市公告书提示性公告</v>
      </c>
    </row>
    <row r="93" spans="1:3" x14ac:dyDescent="0.15">
      <c r="A93" s="1">
        <v>41659</v>
      </c>
      <c r="B93" t="s">
        <v>50</v>
      </c>
      <c r="C93" s="2" t="str">
        <f>HYPERLINK("http://snap.windin.com/ns/bulletin.php?id=21933310&amp;type=1", "楚天科技:首次公开发行股票上市公告书")</f>
        <v>楚天科技:首次公开发行股票上市公告书</v>
      </c>
    </row>
    <row r="94" spans="1:3" x14ac:dyDescent="0.15">
      <c r="A94" s="1">
        <v>41659</v>
      </c>
      <c r="B94" t="s">
        <v>50</v>
      </c>
      <c r="C94" s="2" t="str">
        <f>HYPERLINK("http://snap.windin.com/ns/bulletin.php?id=21933282&amp;type=1", "楚天科技:首次公开发行股票并在创业板上市公告书提示性公告")</f>
        <v>楚天科技:首次公开发行股票并在创业板上市公告书提示性公告</v>
      </c>
    </row>
    <row r="95" spans="1:3" x14ac:dyDescent="0.15">
      <c r="A95" s="1">
        <v>41659</v>
      </c>
      <c r="B95" t="s">
        <v>51</v>
      </c>
      <c r="C95" s="2" t="str">
        <f>HYPERLINK("http://snap.windin.com/ns/bulletin.php?id=21933268&amp;type=1", "光洋股份:首次公开发行股票上市公告书")</f>
        <v>光洋股份:首次公开发行股票上市公告书</v>
      </c>
    </row>
    <row r="96" spans="1:3" x14ac:dyDescent="0.15">
      <c r="A96" s="1">
        <v>41659</v>
      </c>
      <c r="B96" t="s">
        <v>52</v>
      </c>
      <c r="C96" s="2" t="str">
        <f>HYPERLINK("http://snap.windin.com/ns/bulletin.php?id=21933264&amp;type=1", "良信电器:首次公开发行股票上市公告书")</f>
        <v>良信电器:首次公开发行股票上市公告书</v>
      </c>
    </row>
    <row r="97" spans="1:3" x14ac:dyDescent="0.15">
      <c r="A97" s="1">
        <v>41657</v>
      </c>
      <c r="B97" t="s">
        <v>36</v>
      </c>
      <c r="C97" s="2" t="str">
        <f>HYPERLINK("http://snap.windin.com/ns/bulletin.php?id=21919112&amp;type=1", "鹏翎股份:首次公开发行股票并在创业板上市招股说明书(更新后)")</f>
        <v>鹏翎股份:首次公开发行股票并在创业板上市招股说明书(更新后)</v>
      </c>
    </row>
    <row r="98" spans="1:3" x14ac:dyDescent="0.15">
      <c r="A98" s="1">
        <v>41657</v>
      </c>
      <c r="B98" t="s">
        <v>36</v>
      </c>
      <c r="C98" s="2" t="str">
        <f>HYPERLINK("http://snap.windin.com/ns/bulletin.php?id=21919108&amp;type=1", "鹏翎股份:关于公司首次公开发行股票并在创业板上市招股说明书之更正公告")</f>
        <v>鹏翎股份:关于公司首次公开发行股票并在创业板上市招股说明书之更正公告</v>
      </c>
    </row>
    <row r="99" spans="1:3" x14ac:dyDescent="0.15">
      <c r="A99" s="1">
        <v>41656</v>
      </c>
      <c r="B99" t="s">
        <v>23</v>
      </c>
      <c r="C99" s="2" t="str">
        <f>HYPERLINK("http://snap.windin.com/ns/bulletin.php?id=21911274&amp;type=1", "金轮股份:首次公开发行股票招股说明书")</f>
        <v>金轮股份:首次公开发行股票招股说明书</v>
      </c>
    </row>
    <row r="100" spans="1:3" x14ac:dyDescent="0.15">
      <c r="A100" s="1">
        <v>41656</v>
      </c>
      <c r="B100" t="s">
        <v>23</v>
      </c>
      <c r="C100" s="2" t="str">
        <f>HYPERLINK("http://snap.windin.com/ns/bulletin.php?id=21911270&amp;type=1", "金轮股份:首次公开发行股票招股说明书摘要")</f>
        <v>金轮股份:首次公开发行股票招股说明书摘要</v>
      </c>
    </row>
    <row r="101" spans="1:3" x14ac:dyDescent="0.15">
      <c r="A101" s="1">
        <v>41656</v>
      </c>
      <c r="B101" t="s">
        <v>18</v>
      </c>
      <c r="C101" s="2" t="str">
        <f>HYPERLINK("http://snap.windin.com/ns/bulletin.php?id=21911236&amp;type=1", "金莱特:首次公开发行股票招股说明书摘要")</f>
        <v>金莱特:首次公开发行股票招股说明书摘要</v>
      </c>
    </row>
    <row r="102" spans="1:3" x14ac:dyDescent="0.15">
      <c r="A102" s="1">
        <v>41656</v>
      </c>
      <c r="B102" t="s">
        <v>18</v>
      </c>
      <c r="C102" s="2" t="str">
        <f>HYPERLINK("http://snap.windin.com/ns/bulletin.php?id=21911234&amp;type=1", "金莱特:首次公开发行股票招股说明书")</f>
        <v>金莱特:首次公开发行股票招股说明书</v>
      </c>
    </row>
    <row r="103" spans="1:3" x14ac:dyDescent="0.15">
      <c r="A103" s="1">
        <v>41656</v>
      </c>
      <c r="B103" t="s">
        <v>15</v>
      </c>
      <c r="C103" s="2" t="str">
        <f>HYPERLINK("http://snap.windin.com/ns/bulletin.php?id=21911034&amp;type=1", "绿盟科技:首次公开发行股票并在创业板上市招股说明书")</f>
        <v>绿盟科技:首次公开发行股票并在创业板上市招股说明书</v>
      </c>
    </row>
    <row r="104" spans="1:3" x14ac:dyDescent="0.15">
      <c r="A104" s="1">
        <v>41656</v>
      </c>
      <c r="B104" t="s">
        <v>25</v>
      </c>
      <c r="C104" s="2" t="str">
        <f>HYPERLINK("http://snap.windin.com/ns/bulletin.php?id=21911016&amp;type=1", "麦趣尔:首次公开发行股票招股说明书")</f>
        <v>麦趣尔:首次公开发行股票招股说明书</v>
      </c>
    </row>
    <row r="105" spans="1:3" x14ac:dyDescent="0.15">
      <c r="A105" s="1">
        <v>41656</v>
      </c>
      <c r="B105" t="s">
        <v>25</v>
      </c>
      <c r="C105" s="2" t="str">
        <f>HYPERLINK("http://snap.windin.com/ns/bulletin.php?id=21911008&amp;type=1", "麦趣尔:首次公开发行股票招股说明书摘要")</f>
        <v>麦趣尔:首次公开发行股票招股说明书摘要</v>
      </c>
    </row>
    <row r="106" spans="1:3" x14ac:dyDescent="0.15">
      <c r="A106" s="1">
        <v>41656</v>
      </c>
      <c r="B106" t="s">
        <v>17</v>
      </c>
      <c r="C106" s="2" t="str">
        <f>HYPERLINK("http://snap.windin.com/ns/bulletin.php?id=21910980&amp;type=1", "跃岭股份:首次公开发行股票招股说明书")</f>
        <v>跃岭股份:首次公开发行股票招股说明书</v>
      </c>
    </row>
    <row r="107" spans="1:3" x14ac:dyDescent="0.15">
      <c r="A107" s="1">
        <v>41656</v>
      </c>
      <c r="B107" t="s">
        <v>17</v>
      </c>
      <c r="C107" s="2" t="str">
        <f>HYPERLINK("http://snap.windin.com/ns/bulletin.php?id=21910978&amp;type=1", "跃岭股份:首次公开发行股票招股说明书摘要")</f>
        <v>跃岭股份:首次公开发行股票招股说明书摘要</v>
      </c>
    </row>
    <row r="108" spans="1:3" x14ac:dyDescent="0.15">
      <c r="A108" s="1">
        <v>41656</v>
      </c>
      <c r="B108" t="s">
        <v>19</v>
      </c>
      <c r="C108" s="2" t="str">
        <f>HYPERLINK("http://snap.windin.com/ns/bulletin.php?id=21910946&amp;type=1", "东方网力:首次公开发行股票并在创业板上市招股说明书")</f>
        <v>东方网力:首次公开发行股票并在创业板上市招股说明书</v>
      </c>
    </row>
    <row r="109" spans="1:3" x14ac:dyDescent="0.15">
      <c r="A109" s="1">
        <v>41656</v>
      </c>
      <c r="B109" t="s">
        <v>20</v>
      </c>
      <c r="C109" s="2" t="str">
        <f>HYPERLINK("http://snap.windin.com/ns/bulletin.php?id=21910754&amp;type=1", "博腾股份:首次公开发行股票并在创业板上市招股说明书")</f>
        <v>博腾股份:首次公开发行股票并在创业板上市招股说明书</v>
      </c>
    </row>
    <row r="110" spans="1:3" x14ac:dyDescent="0.15">
      <c r="A110" s="1">
        <v>41656</v>
      </c>
      <c r="B110" t="s">
        <v>16</v>
      </c>
      <c r="C110" s="2" t="str">
        <f>HYPERLINK("http://snap.windin.com/ns/bulletin.php?id=21910426&amp;type=1", "斯莱克:首次公开发行股票并在创业板上市招股说明书")</f>
        <v>斯莱克:首次公开发行股票并在创业板上市招股说明书</v>
      </c>
    </row>
    <row r="111" spans="1:3" x14ac:dyDescent="0.15">
      <c r="A111" s="1">
        <v>41656</v>
      </c>
      <c r="B111" t="s">
        <v>13</v>
      </c>
      <c r="C111" s="2" t="str">
        <f>HYPERLINK("http://snap.windin.com/ns/bulletin.php?id=21910010&amp;type=1", "东方通:首次公开发行股票并在创业板上市招股说明书")</f>
        <v>东方通:首次公开发行股票并在创业板上市招股说明书</v>
      </c>
    </row>
    <row r="112" spans="1:3" x14ac:dyDescent="0.15">
      <c r="A112" s="1">
        <v>41656</v>
      </c>
      <c r="B112" t="s">
        <v>27</v>
      </c>
      <c r="C112" s="2" t="str">
        <f>HYPERLINK("http://snap.windin.com/ns/bulletin.php?id=21909896&amp;type=1", "友邦吊顶:首次公开发行股票招股说明书摘要")</f>
        <v>友邦吊顶:首次公开发行股票招股说明书摘要</v>
      </c>
    </row>
    <row r="113" spans="1:3" x14ac:dyDescent="0.15">
      <c r="A113" s="1">
        <v>41656</v>
      </c>
      <c r="B113" t="s">
        <v>27</v>
      </c>
      <c r="C113" s="2" t="str">
        <f>HYPERLINK("http://snap.windin.com/ns/bulletin.php?id=21909894&amp;type=1", "友邦吊顶:首次公开发行股票招股说明书")</f>
        <v>友邦吊顶:首次公开发行股票招股说明书</v>
      </c>
    </row>
    <row r="114" spans="1:3" x14ac:dyDescent="0.15">
      <c r="A114" s="1">
        <v>41655</v>
      </c>
      <c r="B114" t="s">
        <v>28</v>
      </c>
      <c r="C114" s="2" t="str">
        <f>HYPERLINK("http://snap.windin.com/ns/bulletin.php?id=21902554&amp;type=1", "陕西煤业:首次公开发行A股股票招股说明书摘要")</f>
        <v>陕西煤业:首次公开发行A股股票招股说明书摘要</v>
      </c>
    </row>
    <row r="115" spans="1:3" x14ac:dyDescent="0.15">
      <c r="A115" s="1">
        <v>41655</v>
      </c>
      <c r="B115" t="s">
        <v>29</v>
      </c>
      <c r="C115" s="2" t="str">
        <f>HYPERLINK("http://snap.windin.com/ns/bulletin.php?id=21902086&amp;type=1", "欧浦钢网:首次公开发行股票招股说明书摘要")</f>
        <v>欧浦钢网:首次公开发行股票招股说明书摘要</v>
      </c>
    </row>
    <row r="116" spans="1:3" x14ac:dyDescent="0.15">
      <c r="A116" s="1">
        <v>41655</v>
      </c>
      <c r="B116" t="s">
        <v>7</v>
      </c>
      <c r="C116" s="2" t="str">
        <f>HYPERLINK("http://snap.windin.com/ns/bulletin.php?id=21900386&amp;type=1", "岭南园林:首次公开发行股票招股说明书")</f>
        <v>岭南园林:首次公开发行股票招股说明书</v>
      </c>
    </row>
    <row r="117" spans="1:3" x14ac:dyDescent="0.15">
      <c r="A117" s="1">
        <v>41655</v>
      </c>
      <c r="B117" t="s">
        <v>21</v>
      </c>
      <c r="C117" s="2" t="str">
        <f>HYPERLINK("http://snap.windin.com/ns/bulletin.php?id=21900384&amp;type=1", "金贵银业:首次公开发行股票招股说明书摘要")</f>
        <v>金贵银业:首次公开发行股票招股说明书摘要</v>
      </c>
    </row>
    <row r="118" spans="1:3" x14ac:dyDescent="0.15">
      <c r="A118" s="1">
        <v>41655</v>
      </c>
      <c r="B118" t="s">
        <v>7</v>
      </c>
      <c r="C118" s="2" t="str">
        <f>HYPERLINK("http://snap.windin.com/ns/bulletin.php?id=21900382&amp;type=1", "岭南园林:首次公开发行股票招股说明书摘要")</f>
        <v>岭南园林:首次公开发行股票招股说明书摘要</v>
      </c>
    </row>
    <row r="119" spans="1:3" x14ac:dyDescent="0.15">
      <c r="A119" s="1">
        <v>41655</v>
      </c>
      <c r="B119" t="s">
        <v>24</v>
      </c>
      <c r="C119" s="2" t="str">
        <f>HYPERLINK("http://snap.windin.com/ns/bulletin.php?id=21900380&amp;type=1", "牧原股份:首次公开发行股票招股说明书")</f>
        <v>牧原股份:首次公开发行股票招股说明书</v>
      </c>
    </row>
    <row r="120" spans="1:3" x14ac:dyDescent="0.15">
      <c r="A120" s="1">
        <v>41655</v>
      </c>
      <c r="B120" t="s">
        <v>24</v>
      </c>
      <c r="C120" s="2" t="str">
        <f>HYPERLINK("http://snap.windin.com/ns/bulletin.php?id=21900376&amp;type=1", "牧原股份:首次公开发行股票招股说明书摘要")</f>
        <v>牧原股份:首次公开发行股票招股说明书摘要</v>
      </c>
    </row>
    <row r="121" spans="1:3" x14ac:dyDescent="0.15">
      <c r="A121" s="1">
        <v>41655</v>
      </c>
      <c r="B121" t="s">
        <v>21</v>
      </c>
      <c r="C121" s="2" t="str">
        <f>HYPERLINK("http://snap.windin.com/ns/bulletin.php?id=21900372&amp;type=1", "金贵银业:首次公开发行股票招股说明书")</f>
        <v>金贵银业:首次公开发行股票招股说明书</v>
      </c>
    </row>
    <row r="122" spans="1:3" x14ac:dyDescent="0.15">
      <c r="A122" s="1">
        <v>41655</v>
      </c>
      <c r="B122" t="s">
        <v>22</v>
      </c>
      <c r="C122" s="2" t="str">
        <f>HYPERLINK("http://snap.windin.com/ns/bulletin.php?id=21900340&amp;type=1", "溢多利:首次公开发行股票并在创业板上市招股说明书")</f>
        <v>溢多利:首次公开发行股票并在创业板上市招股说明书</v>
      </c>
    </row>
    <row r="123" spans="1:3" x14ac:dyDescent="0.15">
      <c r="A123" s="1">
        <v>41655</v>
      </c>
      <c r="B123" t="s">
        <v>29</v>
      </c>
      <c r="C123" s="2" t="str">
        <f>HYPERLINK("http://snap.windin.com/ns/bulletin.php?id=21900324&amp;type=1", "欧浦钢网:首次公开发行股票招股说明书")</f>
        <v>欧浦钢网:首次公开发行股票招股说明书</v>
      </c>
    </row>
    <row r="124" spans="1:3" x14ac:dyDescent="0.15">
      <c r="A124" s="1">
        <v>41655</v>
      </c>
      <c r="B124" t="s">
        <v>28</v>
      </c>
      <c r="C124" s="2" t="str">
        <f>HYPERLINK("http://snap.windin.com/ns/bulletin.php?id=21900312&amp;type=1", "陕西煤业:首次公开发行A股股票招股说明书")</f>
        <v>陕西煤业:首次公开发行A股股票招股说明书</v>
      </c>
    </row>
    <row r="125" spans="1:3" x14ac:dyDescent="0.15">
      <c r="A125" s="1">
        <v>41655</v>
      </c>
      <c r="B125" t="s">
        <v>26</v>
      </c>
      <c r="C125" s="2" t="str">
        <f>HYPERLINK("http://snap.windin.com/ns/bulletin.php?id=21900276&amp;type=1", "安硕信息:首次公开发行股票并在创业板上市招股说明书")</f>
        <v>安硕信息:首次公开发行股票并在创业板上市招股说明书</v>
      </c>
    </row>
    <row r="126" spans="1:3" x14ac:dyDescent="0.15">
      <c r="A126" s="1">
        <v>41655</v>
      </c>
      <c r="B126" t="s">
        <v>34</v>
      </c>
      <c r="C126" s="2" t="str">
        <f>HYPERLINK("http://snap.windin.com/ns/bulletin.php?id=21900272&amp;type=1", "鼎捷软件:首次公开发行股票并在创业板上市招股说明书")</f>
        <v>鼎捷软件:首次公开发行股票并在创业板上市招股说明书</v>
      </c>
    </row>
    <row r="127" spans="1:3" x14ac:dyDescent="0.15">
      <c r="A127" s="1">
        <v>41655</v>
      </c>
      <c r="B127" t="s">
        <v>33</v>
      </c>
      <c r="C127" s="2" t="str">
        <f>HYPERLINK("http://snap.windin.com/ns/bulletin.php?id=21899560&amp;type=1", "易事特:首次公开发行股票并在创业板上市招股说明书")</f>
        <v>易事特:首次公开发行股票并在创业板上市招股说明书</v>
      </c>
    </row>
    <row r="128" spans="1:3" x14ac:dyDescent="0.15">
      <c r="A128" s="1">
        <v>41655</v>
      </c>
      <c r="B128" t="s">
        <v>53</v>
      </c>
      <c r="C128" s="2" t="str">
        <f>HYPERLINK("http://snap.windin.com/ns/bulletin.php?id=21898144&amp;type=1", "纽威股份:首次公开发行A股股票上市公告书")</f>
        <v>纽威股份:首次公开发行A股股票上市公告书</v>
      </c>
    </row>
    <row r="129" spans="1:3" x14ac:dyDescent="0.15">
      <c r="A129" s="1">
        <v>41655</v>
      </c>
      <c r="B129" t="s">
        <v>12</v>
      </c>
      <c r="C129" s="2" t="str">
        <f>HYPERLINK("http://snap.windin.com/ns/bulletin.php?id=21897864&amp;type=1", "晶方科技:首次公开发行股票招股说明书摘要(修订版)")</f>
        <v>晶方科技:首次公开发行股票招股说明书摘要(修订版)</v>
      </c>
    </row>
    <row r="130" spans="1:3" x14ac:dyDescent="0.15">
      <c r="A130" s="1">
        <v>41654</v>
      </c>
      <c r="B130" t="s">
        <v>11</v>
      </c>
      <c r="C130" s="2" t="str">
        <f>HYPERLINK("http://snap.windin.com/ns/bulletin.php?id=21886798&amp;type=1", "海天味业:首次公开发行股票招股意向书")</f>
        <v>海天味业:首次公开发行股票招股意向书</v>
      </c>
    </row>
    <row r="131" spans="1:3" x14ac:dyDescent="0.15">
      <c r="A131" s="1">
        <v>41654</v>
      </c>
      <c r="B131" t="s">
        <v>11</v>
      </c>
      <c r="C131" s="2" t="str">
        <f>HYPERLINK("http://snap.windin.com/ns/bulletin.php?id=21886788&amp;type=1", "海天味业:首次公开发行股票招股意向书摘要")</f>
        <v>海天味业:首次公开发行股票招股意向书摘要</v>
      </c>
    </row>
    <row r="132" spans="1:3" x14ac:dyDescent="0.15">
      <c r="A132" s="1">
        <v>41654</v>
      </c>
      <c r="B132" t="s">
        <v>11</v>
      </c>
      <c r="C132" s="2" t="str">
        <f>HYPERLINK("http://snap.windin.com/ns/bulletin.php?id=21886756&amp;type=1", "海天味业:首次公开发行股票招股意向书附录")</f>
        <v>海天味业:首次公开发行股票招股意向书附录</v>
      </c>
    </row>
    <row r="133" spans="1:3" x14ac:dyDescent="0.15">
      <c r="A133" s="1">
        <v>41654</v>
      </c>
      <c r="B133" t="s">
        <v>31</v>
      </c>
      <c r="C133" s="2" t="str">
        <f>HYPERLINK("http://snap.windin.com/ns/bulletin.php?id=21886556&amp;type=1", "创意信息:首次公开发行股票并在创业板上市招股说明书")</f>
        <v>创意信息:首次公开发行股票并在创业板上市招股说明书</v>
      </c>
    </row>
    <row r="134" spans="1:3" x14ac:dyDescent="0.15">
      <c r="A134" s="1">
        <v>41654</v>
      </c>
      <c r="B134" t="s">
        <v>35</v>
      </c>
      <c r="C134" s="2" t="str">
        <f>HYPERLINK("http://snap.windin.com/ns/bulletin.php?id=21886548&amp;type=1", "金一文化:首次公开发行股票招股说明书")</f>
        <v>金一文化:首次公开发行股票招股说明书</v>
      </c>
    </row>
    <row r="135" spans="1:3" x14ac:dyDescent="0.15">
      <c r="A135" s="1">
        <v>41654</v>
      </c>
      <c r="B135" t="s">
        <v>35</v>
      </c>
      <c r="C135" s="2" t="str">
        <f>HYPERLINK("http://snap.windin.com/ns/bulletin.php?id=21886540&amp;type=1", "金一文化:首次公开发行股票招股说明书摘要")</f>
        <v>金一文化:首次公开发行股票招股说明书摘要</v>
      </c>
    </row>
    <row r="136" spans="1:3" x14ac:dyDescent="0.15">
      <c r="A136" s="1">
        <v>41654</v>
      </c>
      <c r="B136" t="s">
        <v>30</v>
      </c>
      <c r="C136" s="2" t="str">
        <f>HYPERLINK("http://snap.windin.com/ns/bulletin.php?id=21886226&amp;type=1", "欣泰电气:首次公开发行股票并在创业板上市招股说明书")</f>
        <v>欣泰电气:首次公开发行股票并在创业板上市招股说明书</v>
      </c>
    </row>
    <row r="137" spans="1:3" x14ac:dyDescent="0.15">
      <c r="A137" s="1">
        <v>41654</v>
      </c>
      <c r="B137" t="s">
        <v>12</v>
      </c>
      <c r="C137" s="2" t="str">
        <f>HYPERLINK("http://snap.windin.com/ns/bulletin.php?id=21885880&amp;type=1", "晶方科技:首次公开发行股票招股说明书")</f>
        <v>晶方科技:首次公开发行股票招股说明书</v>
      </c>
    </row>
    <row r="138" spans="1:3" x14ac:dyDescent="0.15">
      <c r="A138" s="1">
        <v>41654</v>
      </c>
      <c r="B138" t="s">
        <v>12</v>
      </c>
      <c r="C138" s="2" t="str">
        <f>HYPERLINK("http://snap.windin.com/ns/bulletin.php?id=21885820&amp;type=1", "晶方科技:首次公开发行股票招股说明书摘要")</f>
        <v>晶方科技:首次公开发行股票招股说明书摘要</v>
      </c>
    </row>
    <row r="139" spans="1:3" x14ac:dyDescent="0.15">
      <c r="A139" s="1">
        <v>41653</v>
      </c>
      <c r="B139" t="s">
        <v>43</v>
      </c>
      <c r="C139" s="2" t="str">
        <f>HYPERLINK("http://snap.windin.com/ns/bulletin.php?id=21877366&amp;type=1", "扬杰科技:首次公开发行股票并在创业板上市招股说明书")</f>
        <v>扬杰科技:首次公开发行股票并在创业板上市招股说明书</v>
      </c>
    </row>
    <row r="140" spans="1:3" x14ac:dyDescent="0.15">
      <c r="A140" s="1">
        <v>41653</v>
      </c>
      <c r="B140" t="s">
        <v>44</v>
      </c>
      <c r="C140" s="2" t="str">
        <f>HYPERLINK("http://snap.windin.com/ns/bulletin.php?id=21877352&amp;type=1", "汇金股份:首次公开发行股票并在创业板上市招股说明书")</f>
        <v>汇金股份:首次公开发行股票并在创业板上市招股说明书</v>
      </c>
    </row>
    <row r="141" spans="1:3" x14ac:dyDescent="0.15">
      <c r="A141" s="1">
        <v>41653</v>
      </c>
      <c r="B141" t="s">
        <v>40</v>
      </c>
      <c r="C141" s="2" t="str">
        <f>HYPERLINK("http://snap.windin.com/ns/bulletin.php?id=21877282&amp;type=1", "汇中股份:首次公开发行股票并在创业板上市招股说明书")</f>
        <v>汇中股份:首次公开发行股票并在创业板上市招股说明书</v>
      </c>
    </row>
    <row r="142" spans="1:3" x14ac:dyDescent="0.15">
      <c r="A142" s="1">
        <v>41653</v>
      </c>
      <c r="B142" t="s">
        <v>9</v>
      </c>
      <c r="C142" s="2" t="str">
        <f>HYPERLINK("http://snap.windin.com/ns/bulletin.php?id=21877278&amp;type=1", "东易日盛:首次公开发行股票并上市招股说明书摘要")</f>
        <v>东易日盛:首次公开发行股票并上市招股说明书摘要</v>
      </c>
    </row>
    <row r="143" spans="1:3" x14ac:dyDescent="0.15">
      <c r="A143" s="1">
        <v>41653</v>
      </c>
      <c r="B143" t="s">
        <v>9</v>
      </c>
      <c r="C143" s="2" t="str">
        <f>HYPERLINK("http://snap.windin.com/ns/bulletin.php?id=21877274&amp;type=1", "东易日盛:首次公开发行股票并上市招股说明书")</f>
        <v>东易日盛:首次公开发行股票并上市招股说明书</v>
      </c>
    </row>
    <row r="144" spans="1:3" x14ac:dyDescent="0.15">
      <c r="A144" s="1">
        <v>41653</v>
      </c>
      <c r="B144" t="s">
        <v>36</v>
      </c>
      <c r="C144" s="2" t="str">
        <f>HYPERLINK("http://snap.windin.com/ns/bulletin.php?id=21877140&amp;type=1", "鹏翎股份:首次公开发行股票并在创业板上市招股说明书")</f>
        <v>鹏翎股份:首次公开发行股票并在创业板上市招股说明书</v>
      </c>
    </row>
    <row r="145" spans="1:3" x14ac:dyDescent="0.15">
      <c r="A145" s="1">
        <v>41653</v>
      </c>
      <c r="B145" t="s">
        <v>39</v>
      </c>
      <c r="C145" s="2" t="str">
        <f>HYPERLINK("http://snap.windin.com/ns/bulletin.php?id=21877132&amp;type=1", "恒华科技:首次公开发行股票并在创业板上市招股说明书")</f>
        <v>恒华科技:首次公开发行股票并在创业板上市招股说明书</v>
      </c>
    </row>
    <row r="146" spans="1:3" x14ac:dyDescent="0.15">
      <c r="A146" s="1">
        <v>41653</v>
      </c>
      <c r="B146" t="s">
        <v>42</v>
      </c>
      <c r="C146" s="2" t="str">
        <f>HYPERLINK("http://snap.windin.com/ns/bulletin.php?id=21877130&amp;type=1", "众信旅游:首次公开发行股票招股说明书")</f>
        <v>众信旅游:首次公开发行股票招股说明书</v>
      </c>
    </row>
    <row r="147" spans="1:3" x14ac:dyDescent="0.15">
      <c r="A147" s="1">
        <v>41653</v>
      </c>
      <c r="B147" t="s">
        <v>42</v>
      </c>
      <c r="C147" s="2" t="str">
        <f>HYPERLINK("http://snap.windin.com/ns/bulletin.php?id=21877128&amp;type=1", "众信旅游:首次公开发行股票招股说明书摘要")</f>
        <v>众信旅游:首次公开发行股票招股说明书摘要</v>
      </c>
    </row>
    <row r="148" spans="1:3" x14ac:dyDescent="0.15">
      <c r="A148" s="1">
        <v>41653</v>
      </c>
      <c r="B148" t="s">
        <v>37</v>
      </c>
      <c r="C148" s="2" t="str">
        <f>HYPERLINK("http://snap.windin.com/ns/bulletin.php?id=21877122&amp;type=1", "贵人鸟:首次公开发行股票招股说明书")</f>
        <v>贵人鸟:首次公开发行股票招股说明书</v>
      </c>
    </row>
    <row r="149" spans="1:3" x14ac:dyDescent="0.15">
      <c r="A149" s="1">
        <v>41653</v>
      </c>
      <c r="B149" t="s">
        <v>37</v>
      </c>
      <c r="C149" s="2" t="str">
        <f>HYPERLINK("http://snap.windin.com/ns/bulletin.php?id=21877118&amp;type=1", "贵人鸟:首次公开发行股票招股说明书摘要")</f>
        <v>贵人鸟:首次公开发行股票招股说明书摘要</v>
      </c>
    </row>
    <row r="150" spans="1:3" x14ac:dyDescent="0.15">
      <c r="A150" s="1">
        <v>41652</v>
      </c>
      <c r="B150" t="s">
        <v>53</v>
      </c>
      <c r="C150" s="2" t="str">
        <f>HYPERLINK("http://snap.windin.com/ns/bulletin.php?id=21865940&amp;type=1", "纽威股份:首次公开发行股票招股说明书")</f>
        <v>纽威股份:首次公开发行股票招股说明书</v>
      </c>
    </row>
    <row r="151" spans="1:3" x14ac:dyDescent="0.15">
      <c r="A151" s="1">
        <v>41652</v>
      </c>
      <c r="B151" t="s">
        <v>53</v>
      </c>
      <c r="C151" s="2" t="str">
        <f>HYPERLINK("http://snap.windin.com/ns/bulletin.php?id=21865916&amp;type=1", "纽威股份:首次公开发行股票招股说明书摘要")</f>
        <v>纽威股份:首次公开发行股票招股说明书摘要</v>
      </c>
    </row>
    <row r="152" spans="1:3" x14ac:dyDescent="0.15">
      <c r="A152" s="1">
        <v>41650</v>
      </c>
      <c r="B152" t="s">
        <v>6</v>
      </c>
      <c r="C152" s="2" t="str">
        <f>HYPERLINK("http://snap.windin.com/ns/bulletin.php?id=21857970&amp;type=1", "安控股份:首次公开发行股票并在创业板上市招股说明书(更新后)")</f>
        <v>安控股份:首次公开发行股票并在创业板上市招股说明书(更新后)</v>
      </c>
    </row>
    <row r="153" spans="1:3" x14ac:dyDescent="0.15">
      <c r="A153" s="1">
        <v>41650</v>
      </c>
      <c r="B153" t="s">
        <v>36</v>
      </c>
      <c r="C153" s="2" t="str">
        <f>HYPERLINK("http://snap.windin.com/ns/bulletin.php?id=21856630&amp;type=1", "鹏翎股份:首次公开发行股票并在创业板上市招股意向书(更新后)")</f>
        <v>鹏翎股份:首次公开发行股票并在创业板上市招股意向书(更新后)</v>
      </c>
    </row>
    <row r="154" spans="1:3" x14ac:dyDescent="0.15">
      <c r="A154" s="1">
        <v>41649</v>
      </c>
      <c r="B154" t="s">
        <v>6</v>
      </c>
      <c r="C154" s="2" t="str">
        <f>HYPERLINK("http://snap.windin.com/ns/bulletin.php?id=21849226&amp;type=1", "安控股份:首次公开发行股票并在创业板上市招股说明书")</f>
        <v>安控股份:首次公开发行股票并在创业板上市招股说明书</v>
      </c>
    </row>
    <row r="155" spans="1:3" x14ac:dyDescent="0.15">
      <c r="A155" s="1">
        <v>41649</v>
      </c>
      <c r="B155" t="s">
        <v>48</v>
      </c>
      <c r="C155" s="2" t="str">
        <f>HYPERLINK("http://snap.windin.com/ns/bulletin.php?id=21849198&amp;type=1", "全通教育:首次公开发行股票并在创业板上市招股说明书")</f>
        <v>全通教育:首次公开发行股票并在创业板上市招股说明书</v>
      </c>
    </row>
    <row r="156" spans="1:3" x14ac:dyDescent="0.15">
      <c r="A156" s="1">
        <v>41649</v>
      </c>
      <c r="B156" t="s">
        <v>51</v>
      </c>
      <c r="C156" s="2" t="str">
        <f>HYPERLINK("http://snap.windin.com/ns/bulletin.php?id=21849170&amp;type=1", "光洋股份:首次公开发行股票招股说明书摘要")</f>
        <v>光洋股份:首次公开发行股票招股说明书摘要</v>
      </c>
    </row>
    <row r="157" spans="1:3" x14ac:dyDescent="0.15">
      <c r="A157" s="1">
        <v>41649</v>
      </c>
      <c r="B157" t="s">
        <v>14</v>
      </c>
      <c r="C157" s="2" t="str">
        <f>HYPERLINK("http://snap.windin.com/ns/bulletin.php?id=21849146&amp;type=1", "光环新网:首次公开发行股票并在创业板上市招股意向书")</f>
        <v>光环新网:首次公开发行股票并在创业板上市招股意向书</v>
      </c>
    </row>
    <row r="158" spans="1:3" x14ac:dyDescent="0.15">
      <c r="A158" s="1">
        <v>41649</v>
      </c>
      <c r="B158" t="s">
        <v>51</v>
      </c>
      <c r="C158" s="2" t="str">
        <f>HYPERLINK("http://snap.windin.com/ns/bulletin.php?id=21849140&amp;type=1", "光洋股份:首次公开发行股票招股说明书")</f>
        <v>光洋股份:首次公开发行股票招股说明书</v>
      </c>
    </row>
    <row r="159" spans="1:3" x14ac:dyDescent="0.15">
      <c r="A159" s="1">
        <v>41649</v>
      </c>
      <c r="B159" t="s">
        <v>41</v>
      </c>
      <c r="C159" s="2" t="str">
        <f>HYPERLINK("http://snap.windin.com/ns/bulletin.php?id=21848764&amp;type=1", "天赐材料:首次公开发行股票招股说明书")</f>
        <v>天赐材料:首次公开发行股票招股说明书</v>
      </c>
    </row>
    <row r="160" spans="1:3" x14ac:dyDescent="0.15">
      <c r="A160" s="1">
        <v>41649</v>
      </c>
      <c r="B160" t="s">
        <v>41</v>
      </c>
      <c r="C160" s="2" t="str">
        <f>HYPERLINK("http://snap.windin.com/ns/bulletin.php?id=21848756&amp;type=1", "天赐材料:首次公开发行股票招股说明书摘要")</f>
        <v>天赐材料:首次公开发行股票招股说明书摘要</v>
      </c>
    </row>
    <row r="161" spans="1:3" x14ac:dyDescent="0.15">
      <c r="A161" s="1">
        <v>41649</v>
      </c>
      <c r="B161" t="s">
        <v>45</v>
      </c>
      <c r="C161" s="2" t="str">
        <f>HYPERLINK("http://snap.windin.com/ns/bulletin.php?id=21848034&amp;type=1", "应流股份:首次公开发行股票招股说明书")</f>
        <v>应流股份:首次公开发行股票招股说明书</v>
      </c>
    </row>
    <row r="162" spans="1:3" x14ac:dyDescent="0.15">
      <c r="A162" s="1">
        <v>41649</v>
      </c>
      <c r="B162" t="s">
        <v>45</v>
      </c>
      <c r="C162" s="2" t="str">
        <f>HYPERLINK("http://snap.windin.com/ns/bulletin.php?id=21848028&amp;type=1", "应流股份:首次公开发行股票招股说明书摘要")</f>
        <v>应流股份:首次公开发行股票招股说明书摘要</v>
      </c>
    </row>
    <row r="163" spans="1:3" x14ac:dyDescent="0.15">
      <c r="A163" s="1">
        <v>41649</v>
      </c>
      <c r="B163" t="s">
        <v>38</v>
      </c>
      <c r="C163" s="2" t="str">
        <f>HYPERLINK("http://snap.windin.com/ns/bulletin.php?id=21847982&amp;type=1", "思美传媒:首次公开发行股票并上市招股说明书")</f>
        <v>思美传媒:首次公开发行股票并上市招股说明书</v>
      </c>
    </row>
    <row r="164" spans="1:3" x14ac:dyDescent="0.15">
      <c r="A164" s="1">
        <v>41649</v>
      </c>
      <c r="B164" t="s">
        <v>38</v>
      </c>
      <c r="C164" s="2" t="str">
        <f>HYPERLINK("http://snap.windin.com/ns/bulletin.php?id=21847946&amp;type=1", "思美传媒:首次公开发行股票并上市招股说明书摘要")</f>
        <v>思美传媒:首次公开发行股票并上市招股说明书摘要</v>
      </c>
    </row>
    <row r="165" spans="1:3" x14ac:dyDescent="0.15">
      <c r="A165" s="1">
        <v>41648</v>
      </c>
      <c r="B165" t="s">
        <v>22</v>
      </c>
      <c r="C165" s="2" t="str">
        <f>HYPERLINK("http://snap.windin.com/ns/bulletin.php?id=21840640&amp;type=1", "溢多利:首次公开发行股票并在创业板上市招股意向书")</f>
        <v>溢多利:首次公开发行股票并在创业板上市招股意向书</v>
      </c>
    </row>
    <row r="166" spans="1:3" x14ac:dyDescent="0.15">
      <c r="A166" s="1">
        <v>41648</v>
      </c>
      <c r="B166" t="s">
        <v>23</v>
      </c>
      <c r="C166" s="2" t="str">
        <f>HYPERLINK("http://snap.windin.com/ns/bulletin.php?id=21840606&amp;type=1", "金轮股份:首次公开发行股票招股意向书")</f>
        <v>金轮股份:首次公开发行股票招股意向书</v>
      </c>
    </row>
    <row r="167" spans="1:3" x14ac:dyDescent="0.15">
      <c r="A167" s="1">
        <v>41648</v>
      </c>
      <c r="B167" t="s">
        <v>23</v>
      </c>
      <c r="C167" s="2" t="str">
        <f>HYPERLINK("http://snap.windin.com/ns/bulletin.php?id=21840572&amp;type=1", "金轮股份:首次公开发行股票招股意向书摘要")</f>
        <v>金轮股份:首次公开发行股票招股意向书摘要</v>
      </c>
    </row>
    <row r="168" spans="1:3" x14ac:dyDescent="0.15">
      <c r="A168" s="1">
        <v>41648</v>
      </c>
      <c r="B168" t="s">
        <v>24</v>
      </c>
      <c r="C168" s="2" t="str">
        <f>HYPERLINK("http://snap.windin.com/ns/bulletin.php?id=21840548&amp;type=1", "牧原股份:首次公开发行股票招股意向书")</f>
        <v>牧原股份:首次公开发行股票招股意向书</v>
      </c>
    </row>
    <row r="169" spans="1:3" x14ac:dyDescent="0.15">
      <c r="A169" s="1">
        <v>41648</v>
      </c>
      <c r="B169" t="s">
        <v>18</v>
      </c>
      <c r="C169" s="2" t="str">
        <f>HYPERLINK("http://snap.windin.com/ns/bulletin.php?id=21840540&amp;type=1", "金莱特:首次公开发行股票招股意向书")</f>
        <v>金莱特:首次公开发行股票招股意向书</v>
      </c>
    </row>
    <row r="170" spans="1:3" x14ac:dyDescent="0.15">
      <c r="A170" s="1">
        <v>41648</v>
      </c>
      <c r="B170" t="s">
        <v>18</v>
      </c>
      <c r="C170" s="2" t="str">
        <f>HYPERLINK("http://snap.windin.com/ns/bulletin.php?id=21840524&amp;type=1", "金莱特:首次公开发行股票招股意向书摘要")</f>
        <v>金莱特:首次公开发行股票招股意向书摘要</v>
      </c>
    </row>
    <row r="171" spans="1:3" x14ac:dyDescent="0.15">
      <c r="A171" s="1">
        <v>41648</v>
      </c>
      <c r="B171" t="s">
        <v>17</v>
      </c>
      <c r="C171" s="2" t="str">
        <f>HYPERLINK("http://snap.windin.com/ns/bulletin.php?id=21840438&amp;type=1", "跃岭股份:首次公开发行股票招股意向书摘要")</f>
        <v>跃岭股份:首次公开发行股票招股意向书摘要</v>
      </c>
    </row>
    <row r="172" spans="1:3" x14ac:dyDescent="0.15">
      <c r="A172" s="1">
        <v>41648</v>
      </c>
      <c r="B172" t="s">
        <v>25</v>
      </c>
      <c r="C172" s="2" t="str">
        <f>HYPERLINK("http://snap.windin.com/ns/bulletin.php?id=21840402&amp;type=1", "麦趣尔:首次公开发行股票招股意向书摘要")</f>
        <v>麦趣尔:首次公开发行股票招股意向书摘要</v>
      </c>
    </row>
    <row r="173" spans="1:3" x14ac:dyDescent="0.15">
      <c r="A173" s="1">
        <v>41648</v>
      </c>
      <c r="B173" t="s">
        <v>25</v>
      </c>
      <c r="C173" s="2" t="str">
        <f>HYPERLINK("http://snap.windin.com/ns/bulletin.php?id=21840396&amp;type=1", "麦趣尔:首次公开发行股票招股意向书")</f>
        <v>麦趣尔:首次公开发行股票招股意向书</v>
      </c>
    </row>
    <row r="174" spans="1:3" x14ac:dyDescent="0.15">
      <c r="A174" s="1">
        <v>41648</v>
      </c>
      <c r="B174" t="s">
        <v>24</v>
      </c>
      <c r="C174" s="2" t="str">
        <f>HYPERLINK("http://snap.windin.com/ns/bulletin.php?id=21840364&amp;type=1", "牧原股份:首次公开发行股票招股意向书摘要")</f>
        <v>牧原股份:首次公开发行股票招股意向书摘要</v>
      </c>
    </row>
    <row r="175" spans="1:3" x14ac:dyDescent="0.15">
      <c r="A175" s="1">
        <v>41648</v>
      </c>
      <c r="B175" t="s">
        <v>35</v>
      </c>
      <c r="C175" s="2" t="str">
        <f>HYPERLINK("http://snap.windin.com/ns/bulletin.php?id=21840346&amp;type=1", "金一文化:首次公开发行股票招股意向书")</f>
        <v>金一文化:首次公开发行股票招股意向书</v>
      </c>
    </row>
    <row r="176" spans="1:3" x14ac:dyDescent="0.15">
      <c r="A176" s="1">
        <v>41648</v>
      </c>
      <c r="B176" t="s">
        <v>35</v>
      </c>
      <c r="C176" s="2" t="str">
        <f>HYPERLINK("http://snap.windin.com/ns/bulletin.php?id=21840332&amp;type=1", "金一文化:首次公开发行股票招股意向书摘要")</f>
        <v>金一文化:首次公开发行股票招股意向书摘要</v>
      </c>
    </row>
    <row r="177" spans="1:3" x14ac:dyDescent="0.15">
      <c r="A177" s="1">
        <v>41648</v>
      </c>
      <c r="B177" t="s">
        <v>17</v>
      </c>
      <c r="C177" s="2" t="str">
        <f>HYPERLINK("http://snap.windin.com/ns/bulletin.php?id=21840326&amp;type=1", "跃岭股份:首次公开发行股票招股意向书")</f>
        <v>跃岭股份:首次公开发行股票招股意向书</v>
      </c>
    </row>
    <row r="178" spans="1:3" x14ac:dyDescent="0.15">
      <c r="A178" s="1">
        <v>41648</v>
      </c>
      <c r="B178" t="s">
        <v>52</v>
      </c>
      <c r="C178" s="2" t="str">
        <f>HYPERLINK("http://snap.windin.com/ns/bulletin.php?id=21840172&amp;type=1", "良信电器:首次公开发行股票招股说明书")</f>
        <v>良信电器:首次公开发行股票招股说明书</v>
      </c>
    </row>
    <row r="179" spans="1:3" x14ac:dyDescent="0.15">
      <c r="A179" s="1">
        <v>41648</v>
      </c>
      <c r="B179" t="s">
        <v>52</v>
      </c>
      <c r="C179" s="2" t="str">
        <f>HYPERLINK("http://snap.windin.com/ns/bulletin.php?id=21840170&amp;type=1", "良信电器:首次公开发行股票招股说明书摘要")</f>
        <v>良信电器:首次公开发行股票招股说明书摘要</v>
      </c>
    </row>
    <row r="180" spans="1:3" x14ac:dyDescent="0.15">
      <c r="A180" s="1">
        <v>41648</v>
      </c>
      <c r="B180" t="s">
        <v>16</v>
      </c>
      <c r="C180" s="2" t="str">
        <f>HYPERLINK("http://snap.windin.com/ns/bulletin.php?id=21840102&amp;type=1", "斯莱克:首次公开发行股票并在创业板上市招股意向书")</f>
        <v>斯莱克:首次公开发行股票并在创业板上市招股意向书</v>
      </c>
    </row>
    <row r="181" spans="1:3" x14ac:dyDescent="0.15">
      <c r="A181" s="1">
        <v>41648</v>
      </c>
      <c r="B181" t="s">
        <v>13</v>
      </c>
      <c r="C181" s="2" t="str">
        <f>HYPERLINK("http://snap.windin.com/ns/bulletin.php?id=21840080&amp;type=1", "东方通:首次公开发行股票并在创业板上市招股意向书")</f>
        <v>东方通:首次公开发行股票并在创业板上市招股意向书</v>
      </c>
    </row>
    <row r="182" spans="1:3" x14ac:dyDescent="0.15">
      <c r="A182" s="1">
        <v>41648</v>
      </c>
      <c r="B182" t="s">
        <v>26</v>
      </c>
      <c r="C182" s="2" t="str">
        <f>HYPERLINK("http://snap.windin.com/ns/bulletin.php?id=21840014&amp;type=1", "安硕信息:首次公开发行股票并在创业板上市招股意向书")</f>
        <v>安硕信息:首次公开发行股票并在创业板上市招股意向书</v>
      </c>
    </row>
    <row r="183" spans="1:3" x14ac:dyDescent="0.15">
      <c r="A183" s="1">
        <v>41648</v>
      </c>
      <c r="B183" t="s">
        <v>49</v>
      </c>
      <c r="C183" s="2" t="str">
        <f>HYPERLINK("http://snap.windin.com/ns/bulletin.php?id=21839966&amp;type=1", "天保重装:首次公开发行股票并在创业板上市招股说明书")</f>
        <v>天保重装:首次公开发行股票并在创业板上市招股说明书</v>
      </c>
    </row>
    <row r="184" spans="1:3" x14ac:dyDescent="0.15">
      <c r="A184" s="1">
        <v>41648</v>
      </c>
      <c r="B184" t="s">
        <v>27</v>
      </c>
      <c r="C184" s="2" t="str">
        <f>HYPERLINK("http://snap.windin.com/ns/bulletin.php?id=21839940&amp;type=1", "友邦吊顶:首次公开发行股票招股意向书摘要")</f>
        <v>友邦吊顶:首次公开发行股票招股意向书摘要</v>
      </c>
    </row>
    <row r="185" spans="1:3" x14ac:dyDescent="0.15">
      <c r="A185" s="1">
        <v>41648</v>
      </c>
      <c r="B185" t="s">
        <v>27</v>
      </c>
      <c r="C185" s="2" t="str">
        <f>HYPERLINK("http://snap.windin.com/ns/bulletin.php?id=21839938&amp;type=1", "友邦吊顶:首次公开发行股票招股意向书")</f>
        <v>友邦吊顶:首次公开发行股票招股意向书</v>
      </c>
    </row>
    <row r="186" spans="1:3" x14ac:dyDescent="0.15">
      <c r="A186" s="1">
        <v>41648</v>
      </c>
      <c r="B186" t="s">
        <v>47</v>
      </c>
      <c r="C186" s="2" t="str">
        <f>HYPERLINK("http://snap.windin.com/ns/bulletin.php?id=21839932&amp;type=1", "炬华科技:首次公开发行股票并在创业板上市招股说明书")</f>
        <v>炬华科技:首次公开发行股票并在创业板上市招股说明书</v>
      </c>
    </row>
    <row r="187" spans="1:3" x14ac:dyDescent="0.15">
      <c r="A187" s="1">
        <v>41648</v>
      </c>
      <c r="B187" t="s">
        <v>12</v>
      </c>
      <c r="C187" s="2" t="str">
        <f>HYPERLINK("http://snap.windin.com/ns/bulletin.php?id=21839480&amp;type=1", "晶方科技:首次公开发行股票招股意向书附录")</f>
        <v>晶方科技:首次公开发行股票招股意向书附录</v>
      </c>
    </row>
    <row r="188" spans="1:3" x14ac:dyDescent="0.15">
      <c r="A188" s="1">
        <v>41648</v>
      </c>
      <c r="B188" t="s">
        <v>12</v>
      </c>
      <c r="C188" s="2" t="str">
        <f>HYPERLINK("http://snap.windin.com/ns/bulletin.php?id=21839476&amp;type=1", "晶方科技:首次公开发行股票招股意向书")</f>
        <v>晶方科技:首次公开发行股票招股意向书</v>
      </c>
    </row>
    <row r="189" spans="1:3" x14ac:dyDescent="0.15">
      <c r="A189" s="1">
        <v>41648</v>
      </c>
      <c r="B189" t="s">
        <v>12</v>
      </c>
      <c r="C189" s="2" t="str">
        <f>HYPERLINK("http://snap.windin.com/ns/bulletin.php?id=21839474&amp;type=1", "晶方科技:首次公开发行股票招股意向书摘要")</f>
        <v>晶方科技:首次公开发行股票招股意向书摘要</v>
      </c>
    </row>
    <row r="190" spans="1:3" x14ac:dyDescent="0.15">
      <c r="A190" s="1">
        <v>41647</v>
      </c>
      <c r="B190" t="s">
        <v>8</v>
      </c>
      <c r="C190" s="2" t="str">
        <f>HYPERLINK("http://snap.windin.com/ns/bulletin.php?id=21831716&amp;type=1", "登云股份:首次公开发行股票招股意向书摘要(更新后)")</f>
        <v>登云股份:首次公开发行股票招股意向书摘要(更新后)</v>
      </c>
    </row>
    <row r="191" spans="1:3" x14ac:dyDescent="0.15">
      <c r="A191" s="1">
        <v>41647</v>
      </c>
      <c r="B191" t="s">
        <v>8</v>
      </c>
      <c r="C191" s="2" t="str">
        <f>HYPERLINK("http://snap.windin.com/ns/bulletin.php?id=21831060&amp;type=1", "登云股份:首次公开发行股票招股意向书(更新后)")</f>
        <v>登云股份:首次公开发行股票招股意向书(更新后)</v>
      </c>
    </row>
    <row r="192" spans="1:3" x14ac:dyDescent="0.15">
      <c r="A192" s="1">
        <v>41647</v>
      </c>
      <c r="B192" t="s">
        <v>50</v>
      </c>
      <c r="C192" s="2" t="str">
        <f>HYPERLINK("http://snap.windin.com/ns/bulletin.php?id=21827192&amp;type=1", "楚天科技:首次公开发行股票并在创业板上市招股说明书")</f>
        <v>楚天科技:首次公开发行股票并在创业板上市招股说明书</v>
      </c>
    </row>
    <row r="193" spans="1:3" x14ac:dyDescent="0.15">
      <c r="A193" s="1">
        <v>41647</v>
      </c>
      <c r="B193" t="s">
        <v>21</v>
      </c>
      <c r="C193" s="2" t="str">
        <f>HYPERLINK("http://snap.windin.com/ns/bulletin.php?id=21827154&amp;type=1", "金贵银业:首次公开发行股票招股意向书摘要")</f>
        <v>金贵银业:首次公开发行股票招股意向书摘要</v>
      </c>
    </row>
    <row r="194" spans="1:3" x14ac:dyDescent="0.15">
      <c r="A194" s="1">
        <v>41647</v>
      </c>
      <c r="B194" t="s">
        <v>21</v>
      </c>
      <c r="C194" s="2" t="str">
        <f>HYPERLINK("http://snap.windin.com/ns/bulletin.php?id=21827148&amp;type=1", "金贵银业:首次公开发行股票招股意向书")</f>
        <v>金贵银业:首次公开发行股票招股意向书</v>
      </c>
    </row>
    <row r="195" spans="1:3" x14ac:dyDescent="0.15">
      <c r="A195" s="1">
        <v>41647</v>
      </c>
      <c r="B195" t="s">
        <v>28</v>
      </c>
      <c r="C195" s="2" t="str">
        <f>HYPERLINK("http://snap.windin.com/ns/bulletin.php?id=21826974&amp;type=1", "陕西煤业:首次公开发行A股股票招股意向书附录")</f>
        <v>陕西煤业:首次公开发行A股股票招股意向书附录</v>
      </c>
    </row>
    <row r="196" spans="1:3" x14ac:dyDescent="0.15">
      <c r="A196" s="1">
        <v>41647</v>
      </c>
      <c r="B196" t="s">
        <v>28</v>
      </c>
      <c r="C196" s="2" t="str">
        <f>HYPERLINK("http://snap.windin.com/ns/bulletin.php?id=21826970&amp;type=1", "陕西煤业:首次公开发行A股股票招股意向书")</f>
        <v>陕西煤业:首次公开发行A股股票招股意向书</v>
      </c>
    </row>
    <row r="197" spans="1:3" x14ac:dyDescent="0.15">
      <c r="A197" s="1">
        <v>41647</v>
      </c>
      <c r="B197" t="s">
        <v>28</v>
      </c>
      <c r="C197" s="2" t="str">
        <f>HYPERLINK("http://snap.windin.com/ns/bulletin.php?id=21826968&amp;type=1", "陕西煤业:首次公开发行A股股票招股意向书摘要")</f>
        <v>陕西煤业:首次公开发行A股股票招股意向书摘要</v>
      </c>
    </row>
    <row r="198" spans="1:3" x14ac:dyDescent="0.15">
      <c r="A198" s="1">
        <v>41647</v>
      </c>
      <c r="B198" t="s">
        <v>7</v>
      </c>
      <c r="C198" s="2" t="str">
        <f>HYPERLINK("http://snap.windin.com/ns/bulletin.php?id=21826708&amp;type=1", "岭南园林:首次公开发行股票招股意向书")</f>
        <v>岭南园林:首次公开发行股票招股意向书</v>
      </c>
    </row>
    <row r="199" spans="1:3" x14ac:dyDescent="0.15">
      <c r="A199" s="1">
        <v>41647</v>
      </c>
      <c r="B199" t="s">
        <v>7</v>
      </c>
      <c r="C199" s="2" t="str">
        <f>HYPERLINK("http://snap.windin.com/ns/bulletin.php?id=21826636&amp;type=1", "岭南园林:首次公开发行股票招股意向书摘要")</f>
        <v>岭南园林:首次公开发行股票招股意向书摘要</v>
      </c>
    </row>
    <row r="200" spans="1:3" x14ac:dyDescent="0.15">
      <c r="A200" s="1">
        <v>41647</v>
      </c>
      <c r="B200" t="s">
        <v>8</v>
      </c>
      <c r="C200" s="2" t="str">
        <f>HYPERLINK("http://snap.windin.com/ns/bulletin.php?id=21826472&amp;type=1", "登云股份:首次公开发行股票招股意向书")</f>
        <v>登云股份:首次公开发行股票招股意向书</v>
      </c>
    </row>
    <row r="201" spans="1:3" x14ac:dyDescent="0.15">
      <c r="A201" s="1">
        <v>41647</v>
      </c>
      <c r="B201" t="s">
        <v>8</v>
      </c>
      <c r="C201" s="2" t="str">
        <f>HYPERLINK("http://snap.windin.com/ns/bulletin.php?id=21826424&amp;type=1", "登云股份:首次公开发行股票招股意向书摘要")</f>
        <v>登云股份:首次公开发行股票招股意向书摘要</v>
      </c>
    </row>
    <row r="202" spans="1:3" x14ac:dyDescent="0.15">
      <c r="A202" s="1">
        <v>41647</v>
      </c>
      <c r="B202" t="s">
        <v>34</v>
      </c>
      <c r="C202" s="2" t="str">
        <f>HYPERLINK("http://snap.windin.com/ns/bulletin.php?id=21825568&amp;type=1", "鼎捷软件:首次公开发行股票并在创业板上市招股意向书")</f>
        <v>鼎捷软件:首次公开发行股票并在创业板上市招股意向书</v>
      </c>
    </row>
    <row r="203" spans="1:3" x14ac:dyDescent="0.15">
      <c r="A203" s="1">
        <v>41647</v>
      </c>
      <c r="B203" t="s">
        <v>32</v>
      </c>
      <c r="C203" s="2" t="str">
        <f>HYPERLINK("http://snap.windin.com/ns/bulletin.php?id=21825498&amp;type=1", "赢时胜:首次公开发行股票并在创业板上市招股意向书")</f>
        <v>赢时胜:首次公开发行股票并在创业板上市招股意向书</v>
      </c>
    </row>
    <row r="204" spans="1:3" x14ac:dyDescent="0.15">
      <c r="A204" s="1">
        <v>41646</v>
      </c>
      <c r="B204" t="s">
        <v>36</v>
      </c>
      <c r="C204" s="2" t="str">
        <f>HYPERLINK("http://snap.windin.com/ns/bulletin.php?id=21816806&amp;type=1", "鹏翎股份:首次公开发行股票并在创业板上市招股意向书")</f>
        <v>鹏翎股份:首次公开发行股票并在创业板上市招股意向书</v>
      </c>
    </row>
    <row r="205" spans="1:3" x14ac:dyDescent="0.15">
      <c r="A205" s="1">
        <v>41646</v>
      </c>
      <c r="B205" t="s">
        <v>10</v>
      </c>
      <c r="C205" s="2" t="str">
        <f>HYPERLINK("http://snap.windin.com/ns/bulletin.php?id=21816804&amp;type=1", "新宝股份:首次公开发行股票招股说明书摘要")</f>
        <v>新宝股份:首次公开发行股票招股说明书摘要</v>
      </c>
    </row>
    <row r="206" spans="1:3" x14ac:dyDescent="0.15">
      <c r="A206" s="1">
        <v>41646</v>
      </c>
      <c r="B206" t="s">
        <v>10</v>
      </c>
      <c r="C206" s="2" t="str">
        <f>HYPERLINK("http://snap.windin.com/ns/bulletin.php?id=21816802&amp;type=1", "新宝股份:首次公开发行股票招股说明书")</f>
        <v>新宝股份:首次公开发行股票招股说明书</v>
      </c>
    </row>
    <row r="207" spans="1:3" x14ac:dyDescent="0.15">
      <c r="A207" s="1">
        <v>41646</v>
      </c>
      <c r="B207" t="s">
        <v>46</v>
      </c>
      <c r="C207" s="2" t="str">
        <f>HYPERLINK("http://snap.windin.com/ns/bulletin.php?id=21816798&amp;type=1", "我武生物:首次公开发行股票并在创业板上市招股说明书")</f>
        <v>我武生物:首次公开发行股票并在创业板上市招股说明书</v>
      </c>
    </row>
    <row r="208" spans="1:3" x14ac:dyDescent="0.15">
      <c r="A208" s="1">
        <v>41646</v>
      </c>
      <c r="B208" t="s">
        <v>9</v>
      </c>
      <c r="C208" s="2" t="str">
        <f>HYPERLINK("http://snap.windin.com/ns/bulletin.php?id=21816792&amp;type=1", "东易日盛:首次公开发行股票并上市招股意向书摘要")</f>
        <v>东易日盛:首次公开发行股票并上市招股意向书摘要</v>
      </c>
    </row>
    <row r="209" spans="1:3" x14ac:dyDescent="0.15">
      <c r="A209" s="1">
        <v>41646</v>
      </c>
      <c r="B209" t="s">
        <v>9</v>
      </c>
      <c r="C209" s="2" t="str">
        <f>HYPERLINK("http://snap.windin.com/ns/bulletin.php?id=21816778&amp;type=1", "东易日盛:首次公开发行股票并上市招股意向书")</f>
        <v>东易日盛:首次公开发行股票并上市招股意向书</v>
      </c>
    </row>
    <row r="210" spans="1:3" x14ac:dyDescent="0.15">
      <c r="A210" s="1">
        <v>41646</v>
      </c>
      <c r="B210" t="s">
        <v>37</v>
      </c>
      <c r="C210" s="2" t="str">
        <f>HYPERLINK("http://snap.windin.com/ns/bulletin.php?id=21816766&amp;type=1", "贵人鸟:首次公开发行A股股票招股意向书")</f>
        <v>贵人鸟:首次公开发行A股股票招股意向书</v>
      </c>
    </row>
    <row r="211" spans="1:3" x14ac:dyDescent="0.15">
      <c r="A211" s="1">
        <v>41646</v>
      </c>
      <c r="B211" t="s">
        <v>37</v>
      </c>
      <c r="C211" s="2" t="str">
        <f>HYPERLINK("http://snap.windin.com/ns/bulletin.php?id=21816764&amp;type=1", "贵人鸟:首次公开发行股票招股意向书附录")</f>
        <v>贵人鸟:首次公开发行股票招股意向书附录</v>
      </c>
    </row>
    <row r="212" spans="1:3" x14ac:dyDescent="0.15">
      <c r="A212" s="1">
        <v>41646</v>
      </c>
      <c r="B212" t="s">
        <v>37</v>
      </c>
      <c r="C212" s="2" t="str">
        <f>HYPERLINK("http://snap.windin.com/ns/bulletin.php?id=21816758&amp;type=1", "贵人鸟:首次公开发行A股股票招股意向书摘要")</f>
        <v>贵人鸟:首次公开发行A股股票招股意向书摘要</v>
      </c>
    </row>
    <row r="213" spans="1:3" x14ac:dyDescent="0.15">
      <c r="A213" s="1">
        <v>41646</v>
      </c>
      <c r="B213" t="s">
        <v>33</v>
      </c>
      <c r="C213" s="2" t="str">
        <f>HYPERLINK("http://snap.windin.com/ns/bulletin.php?id=21816744&amp;type=1", "易事特:首次公开发行股票并在创业板上市招股意向书")</f>
        <v>易事特:首次公开发行股票并在创业板上市招股意向书</v>
      </c>
    </row>
    <row r="214" spans="1:3" x14ac:dyDescent="0.15">
      <c r="A214" s="1">
        <v>41645</v>
      </c>
      <c r="B214" t="s">
        <v>31</v>
      </c>
      <c r="C214" s="2" t="str">
        <f>HYPERLINK("http://snap.windin.com/ns/bulletin.php?id=21809736&amp;type=1", "创意信息:首次公开发行股票并在创业板上市招股意向书")</f>
        <v>创意信息:首次公开发行股票并在创业板上市招股意向书</v>
      </c>
    </row>
    <row r="215" spans="1:3" x14ac:dyDescent="0.15">
      <c r="A215" s="1">
        <v>41645</v>
      </c>
      <c r="B215" t="s">
        <v>44</v>
      </c>
      <c r="C215" s="2" t="str">
        <f>HYPERLINK("http://snap.windin.com/ns/bulletin.php?id=21809626&amp;type=1", "汇金股份:首次公开发行股票并在创业板上市招股意向书")</f>
        <v>汇金股份:首次公开发行股票并在创业板上市招股意向书</v>
      </c>
    </row>
    <row r="216" spans="1:3" x14ac:dyDescent="0.15">
      <c r="A216" s="1">
        <v>41645</v>
      </c>
      <c r="B216" t="s">
        <v>43</v>
      </c>
      <c r="C216" s="2" t="str">
        <f>HYPERLINK("http://snap.windin.com/ns/bulletin.php?id=21809496&amp;type=1", "扬杰科技:首次公开发行股票并在创业板上市招股意向书")</f>
        <v>扬杰科技:首次公开发行股票并在创业板上市招股意向书</v>
      </c>
    </row>
    <row r="217" spans="1:3" x14ac:dyDescent="0.15">
      <c r="A217" s="1">
        <v>41645</v>
      </c>
      <c r="B217" t="s">
        <v>6</v>
      </c>
      <c r="C217" s="2" t="str">
        <f>HYPERLINK("http://snap.windin.com/ns/bulletin.php?id=21809430&amp;type=1", "安控股份:首次公开发行股票并在创业板上市招股意向书")</f>
        <v>安控股份:首次公开发行股票并在创业板上市招股意向书</v>
      </c>
    </row>
    <row r="218" spans="1:3" x14ac:dyDescent="0.15">
      <c r="A218" s="1">
        <v>41645</v>
      </c>
      <c r="B218" t="s">
        <v>40</v>
      </c>
      <c r="C218" s="2" t="str">
        <f>HYPERLINK("http://snap.windin.com/ns/bulletin.php?id=21809378&amp;type=1", "汇中股份:首次公开发行股票并在创业板上市招股意向书")</f>
        <v>汇中股份:首次公开发行股票并在创业板上市招股意向书</v>
      </c>
    </row>
    <row r="219" spans="1:3" x14ac:dyDescent="0.15">
      <c r="A219" s="1">
        <v>41645</v>
      </c>
      <c r="B219" t="s">
        <v>30</v>
      </c>
      <c r="C219" s="2" t="str">
        <f>HYPERLINK("http://snap.windin.com/ns/bulletin.php?id=21809342&amp;type=1", "欣泰电气:首次公开发行股票并在创业板上市招股意向书")</f>
        <v>欣泰电气:首次公开发行股票并在创业板上市招股意向书</v>
      </c>
    </row>
    <row r="220" spans="1:3" x14ac:dyDescent="0.15">
      <c r="A220" s="1">
        <v>41645</v>
      </c>
      <c r="B220" t="s">
        <v>29</v>
      </c>
      <c r="C220" s="2" t="str">
        <f>HYPERLINK("http://snap.windin.com/ns/bulletin.php?id=21809318&amp;type=1", "欧浦钢网:首次公开发行股票招股意向书")</f>
        <v>欧浦钢网:首次公开发行股票招股意向书</v>
      </c>
    </row>
    <row r="221" spans="1:3" x14ac:dyDescent="0.15">
      <c r="A221" s="1">
        <v>41645</v>
      </c>
      <c r="B221" t="s">
        <v>19</v>
      </c>
      <c r="C221" s="2" t="str">
        <f>HYPERLINK("http://snap.windin.com/ns/bulletin.php?id=21809288&amp;type=1", "东方网力:首次公开发行股票并在创业板上市招股意向书")</f>
        <v>东方网力:首次公开发行股票并在创业板上市招股意向书</v>
      </c>
    </row>
    <row r="222" spans="1:3" x14ac:dyDescent="0.15">
      <c r="A222" s="1">
        <v>41645</v>
      </c>
      <c r="B222" t="s">
        <v>29</v>
      </c>
      <c r="C222" s="2" t="str">
        <f>HYPERLINK("http://snap.windin.com/ns/bulletin.php?id=21809280&amp;type=1", "欧浦钢网:首次公开发行股票招股意向书摘要")</f>
        <v>欧浦钢网:首次公开发行股票招股意向书摘要</v>
      </c>
    </row>
    <row r="223" spans="1:3" x14ac:dyDescent="0.15">
      <c r="A223" s="1">
        <v>41645</v>
      </c>
      <c r="B223" t="s">
        <v>38</v>
      </c>
      <c r="C223" s="2" t="str">
        <f>HYPERLINK("http://snap.windin.com/ns/bulletin.php?id=21809152&amp;type=1", "思美传媒:首次公开发行股票并上市招股意向书")</f>
        <v>思美传媒:首次公开发行股票并上市招股意向书</v>
      </c>
    </row>
    <row r="224" spans="1:3" x14ac:dyDescent="0.15">
      <c r="A224" s="1">
        <v>41645</v>
      </c>
      <c r="B224" t="s">
        <v>38</v>
      </c>
      <c r="C224" s="2" t="str">
        <f>HYPERLINK("http://snap.windin.com/ns/bulletin.php?id=21809126&amp;type=1", "思美传媒:首次公开发行股票并上市招股意向书摘要")</f>
        <v>思美传媒:首次公开发行股票并上市招股意向书摘要</v>
      </c>
    </row>
    <row r="225" spans="1:3" x14ac:dyDescent="0.15">
      <c r="A225" s="1">
        <v>41645</v>
      </c>
      <c r="B225" t="s">
        <v>15</v>
      </c>
      <c r="C225" s="2" t="str">
        <f>HYPERLINK("http://snap.windin.com/ns/bulletin.php?id=21809036&amp;type=1", "绿盟科技:首次公开发行股票并在创业板上市招股意向书")</f>
        <v>绿盟科技:首次公开发行股票并在创业板上市招股意向书</v>
      </c>
    </row>
    <row r="226" spans="1:3" x14ac:dyDescent="0.15">
      <c r="A226" s="1">
        <v>41642</v>
      </c>
      <c r="B226" t="s">
        <v>41</v>
      </c>
      <c r="C226" s="2" t="str">
        <f>HYPERLINK("http://snap.windin.com/ns/bulletin.php?id=21761432&amp;type=1", "天赐材料:首次公开发行股票招股意向书(更新后)")</f>
        <v>天赐材料:首次公开发行股票招股意向书(更新后)</v>
      </c>
    </row>
    <row r="227" spans="1:3" x14ac:dyDescent="0.15">
      <c r="A227" s="1">
        <v>41642</v>
      </c>
      <c r="B227" t="s">
        <v>41</v>
      </c>
      <c r="C227" s="2" t="str">
        <f>HYPERLINK("http://snap.windin.com/ns/bulletin.php?id=21761428&amp;type=1", "天赐材料:首次公开发行股票招股意向书摘要(更新后)")</f>
        <v>天赐材料:首次公开发行股票招股意向书摘要(更新后)</v>
      </c>
    </row>
    <row r="228" spans="1:3" x14ac:dyDescent="0.15">
      <c r="A228" s="1">
        <v>41642</v>
      </c>
      <c r="B228" t="s">
        <v>41</v>
      </c>
      <c r="C228" s="2" t="str">
        <f>HYPERLINK("http://snap.windin.com/ns/bulletin.php?id=21761426&amp;type=1", "天赐材料:关于公司首次公开发行股票招股意向书以及招股意向书摘要之更正公告")</f>
        <v>天赐材料:关于公司首次公开发行股票招股意向书以及招股意向书摘要之更正公告</v>
      </c>
    </row>
    <row r="229" spans="1:3" x14ac:dyDescent="0.15">
      <c r="A229" s="1">
        <v>41642</v>
      </c>
      <c r="B229" t="s">
        <v>51</v>
      </c>
      <c r="C229" s="2" t="str">
        <f>HYPERLINK("http://snap.windin.com/ns/bulletin.php?id=21759704&amp;type=1", "光洋股份:首次公开发行股票招股意向书摘要")</f>
        <v>光洋股份:首次公开发行股票招股意向书摘要</v>
      </c>
    </row>
    <row r="230" spans="1:3" x14ac:dyDescent="0.15">
      <c r="A230" s="1">
        <v>41642</v>
      </c>
      <c r="B230" t="s">
        <v>51</v>
      </c>
      <c r="C230" s="2" t="str">
        <f>HYPERLINK("http://snap.windin.com/ns/bulletin.php?id=21759696&amp;type=1", "光洋股份:首次公开发行股票招股意向书")</f>
        <v>光洋股份:首次公开发行股票招股意向书</v>
      </c>
    </row>
    <row r="231" spans="1:3" x14ac:dyDescent="0.15">
      <c r="A231" s="1">
        <v>41642</v>
      </c>
      <c r="B231" t="s">
        <v>41</v>
      </c>
      <c r="C231" s="2" t="str">
        <f>HYPERLINK("http://snap.windin.com/ns/bulletin.php?id=21759602&amp;type=1", "天赐材料:首次公开发行股票招股意向书")</f>
        <v>天赐材料:首次公开发行股票招股意向书</v>
      </c>
    </row>
    <row r="232" spans="1:3" x14ac:dyDescent="0.15">
      <c r="A232" s="1">
        <v>41642</v>
      </c>
      <c r="B232" t="s">
        <v>41</v>
      </c>
      <c r="C232" s="2" t="str">
        <f>HYPERLINK("http://snap.windin.com/ns/bulletin.php?id=21759590&amp;type=1", "天赐材料:首次公开发行股票招股意向书摘要")</f>
        <v>天赐材料:首次公开发行股票招股意向书摘要</v>
      </c>
    </row>
    <row r="233" spans="1:3" x14ac:dyDescent="0.15">
      <c r="A233" s="1">
        <v>41642</v>
      </c>
      <c r="B233" t="s">
        <v>20</v>
      </c>
      <c r="C233" s="2" t="str">
        <f>HYPERLINK("http://snap.windin.com/ns/bulletin.php?id=21759546&amp;type=1", "博腾股份:首次公开发行股票并在创业板上市招股意向书")</f>
        <v>博腾股份:首次公开发行股票并在创业板上市招股意向书</v>
      </c>
    </row>
    <row r="234" spans="1:3" x14ac:dyDescent="0.15">
      <c r="A234" s="1">
        <v>41642</v>
      </c>
      <c r="B234" t="s">
        <v>39</v>
      </c>
      <c r="C234" s="2" t="str">
        <f>HYPERLINK("http://snap.windin.com/ns/bulletin.php?id=21759476&amp;type=1", "恒华科技:首次公开发行股票并在创业板上市招股意向书")</f>
        <v>恒华科技:首次公开发行股票并在创业板上市招股意向书</v>
      </c>
    </row>
    <row r="235" spans="1:3" x14ac:dyDescent="0.15">
      <c r="A235" s="1">
        <v>41642</v>
      </c>
      <c r="B235" t="s">
        <v>45</v>
      </c>
      <c r="C235" s="2" t="str">
        <f>HYPERLINK("http://snap.windin.com/ns/bulletin.php?id=21759416&amp;type=1", "应流股份:首次公开发行股票招股意向书附录")</f>
        <v>应流股份:首次公开发行股票招股意向书附录</v>
      </c>
    </row>
    <row r="236" spans="1:3" x14ac:dyDescent="0.15">
      <c r="A236" s="1">
        <v>41642</v>
      </c>
      <c r="B236" t="s">
        <v>45</v>
      </c>
      <c r="C236" s="2" t="str">
        <f>HYPERLINK("http://snap.windin.com/ns/bulletin.php?id=21759414&amp;type=1", "应流股份:首次公开发行股票招股意向书")</f>
        <v>应流股份:首次公开发行股票招股意向书</v>
      </c>
    </row>
    <row r="237" spans="1:3" x14ac:dyDescent="0.15">
      <c r="A237" s="1">
        <v>41642</v>
      </c>
      <c r="B237" t="s">
        <v>45</v>
      </c>
      <c r="C237" s="2" t="str">
        <f>HYPERLINK("http://snap.windin.com/ns/bulletin.php?id=21759412&amp;type=1", "应流股份:首次公开发行股票招股意向书摘要")</f>
        <v>应流股份:首次公开发行股票招股意向书摘要</v>
      </c>
    </row>
    <row r="238" spans="1:3" x14ac:dyDescent="0.15">
      <c r="A238" s="1">
        <v>41642</v>
      </c>
      <c r="B238" t="s">
        <v>53</v>
      </c>
      <c r="C238" s="2" t="str">
        <f>HYPERLINK("http://snap.windin.com/ns/bulletin.php?id=21758894&amp;type=1", "纽威股份:首次公开发行股票招股意向书更正公告")</f>
        <v>纽威股份:首次公开发行股票招股意向书更正公告</v>
      </c>
    </row>
    <row r="239" spans="1:3" x14ac:dyDescent="0.15">
      <c r="A239" s="1">
        <v>41641</v>
      </c>
      <c r="B239" t="s">
        <v>42</v>
      </c>
      <c r="C239" s="2" t="str">
        <f>HYPERLINK("http://snap.windin.com/ns/bulletin.php?id=21742380&amp;type=1", "众信旅游:首次公开发行股票招股意向书")</f>
        <v>众信旅游:首次公开发行股票招股意向书</v>
      </c>
    </row>
    <row r="240" spans="1:3" x14ac:dyDescent="0.15">
      <c r="A240" s="1">
        <v>41641</v>
      </c>
      <c r="B240" t="s">
        <v>52</v>
      </c>
      <c r="C240" s="2" t="str">
        <f>HYPERLINK("http://snap.windin.com/ns/bulletin.php?id=21742366&amp;type=1", "良信电器:首次公开发行股票招股意向书")</f>
        <v>良信电器:首次公开发行股票招股意向书</v>
      </c>
    </row>
    <row r="241" spans="1:3" x14ac:dyDescent="0.15">
      <c r="A241" s="1">
        <v>41641</v>
      </c>
      <c r="B241" t="s">
        <v>52</v>
      </c>
      <c r="C241" s="2" t="str">
        <f>HYPERLINK("http://snap.windin.com/ns/bulletin.php?id=21742358&amp;type=1", "良信电器:首次公开发行股票招股意向书摘要")</f>
        <v>良信电器:首次公开发行股票招股意向书摘要</v>
      </c>
    </row>
    <row r="242" spans="1:3" x14ac:dyDescent="0.15">
      <c r="A242" s="1">
        <v>41641</v>
      </c>
      <c r="B242" t="s">
        <v>42</v>
      </c>
      <c r="C242" s="2" t="str">
        <f>HYPERLINK("http://snap.windin.com/ns/bulletin.php?id=21742320&amp;type=1", "众信旅游:首次公开发行股票招股意向书摘要")</f>
        <v>众信旅游:首次公开发行股票招股意向书摘要</v>
      </c>
    </row>
    <row r="243" spans="1:3" x14ac:dyDescent="0.15">
      <c r="A243" s="1">
        <v>41641</v>
      </c>
      <c r="B243" t="s">
        <v>47</v>
      </c>
      <c r="C243" s="2" t="str">
        <f>HYPERLINK("http://snap.windin.com/ns/bulletin.php?id=21742228&amp;type=1", "炬华科技:首次公开发行股票并在创业板上市招股意向书")</f>
        <v>炬华科技:首次公开发行股票并在创业板上市招股意向书</v>
      </c>
    </row>
    <row r="244" spans="1:3" x14ac:dyDescent="0.15">
      <c r="A244" s="1">
        <v>41641</v>
      </c>
      <c r="B244" t="s">
        <v>49</v>
      </c>
      <c r="C244" s="2" t="str">
        <f>HYPERLINK("http://snap.windin.com/ns/bulletin.php?id=21742160&amp;type=1", "天保重装:首次公开发行股票并在创业板上市招股意向书")</f>
        <v>天保重装:首次公开发行股票并在创业板上市招股意向书</v>
      </c>
    </row>
    <row r="245" spans="1:3" x14ac:dyDescent="0.15">
      <c r="A245" s="1">
        <v>41639</v>
      </c>
      <c r="B245" t="s">
        <v>53</v>
      </c>
      <c r="C245" s="2" t="str">
        <f>HYPERLINK("http://snap.windin.com/ns/bulletin.php?id=21728132&amp;type=1", "纽威股份:首次公开发行股票招股意向书附录")</f>
        <v>纽威股份:首次公开发行股票招股意向书附录</v>
      </c>
    </row>
    <row r="246" spans="1:3" x14ac:dyDescent="0.15">
      <c r="A246" s="1">
        <v>41639</v>
      </c>
      <c r="B246" t="s">
        <v>53</v>
      </c>
      <c r="C246" s="2" t="str">
        <f>HYPERLINK("http://snap.windin.com/ns/bulletin.php?id=21728128&amp;type=1", "纽威股份:首次公开发行股票招股意向书")</f>
        <v>纽威股份:首次公开发行股票招股意向书</v>
      </c>
    </row>
    <row r="247" spans="1:3" x14ac:dyDescent="0.15">
      <c r="A247" s="1">
        <v>41639</v>
      </c>
      <c r="B247" t="s">
        <v>53</v>
      </c>
      <c r="C247" s="2" t="str">
        <f>HYPERLINK("http://snap.windin.com/ns/bulletin.php?id=21728126&amp;type=1", "纽威股份:首次公开发行股票招股意向书摘要")</f>
        <v>纽威股份:首次公开发行股票招股意向书摘要</v>
      </c>
    </row>
    <row r="248" spans="1:3" x14ac:dyDescent="0.15">
      <c r="A248" s="1">
        <v>41639</v>
      </c>
      <c r="B248" t="s">
        <v>48</v>
      </c>
      <c r="C248" s="2" t="str">
        <f>HYPERLINK("http://snap.windin.com/ns/bulletin.php?id=21726900&amp;type=1", "全通教育:首次公开发行股票并在创业板上市招股意向书")</f>
        <v>全通教育:首次公开发行股票并在创业板上市招股意向书</v>
      </c>
    </row>
    <row r="249" spans="1:3" x14ac:dyDescent="0.15">
      <c r="A249" s="1">
        <v>41639</v>
      </c>
      <c r="B249" t="s">
        <v>46</v>
      </c>
      <c r="C249" s="2" t="str">
        <f>HYPERLINK("http://snap.windin.com/ns/bulletin.php?id=21726862&amp;type=1", "我武生物:首次公开发行股票并在创业板上市招股意向书")</f>
        <v>我武生物:首次公开发行股票并在创业板上市招股意向书</v>
      </c>
    </row>
    <row r="250" spans="1:3" x14ac:dyDescent="0.15">
      <c r="A250" s="1">
        <v>41639</v>
      </c>
      <c r="B250" t="s">
        <v>50</v>
      </c>
      <c r="C250" s="2" t="str">
        <f>HYPERLINK("http://snap.windin.com/ns/bulletin.php?id=21726802&amp;type=1", "楚天科技:首次公开发行股票并在创业板上市招股意向书")</f>
        <v>楚天科技:首次公开发行股票并在创业板上市招股意向书</v>
      </c>
    </row>
    <row r="251" spans="1:3" x14ac:dyDescent="0.15">
      <c r="A251" s="1">
        <v>41639</v>
      </c>
      <c r="B251" t="s">
        <v>10</v>
      </c>
      <c r="C251" s="2" t="str">
        <f>HYPERLINK("http://snap.windin.com/ns/bulletin.php?id=21726704&amp;type=1", "新宝股份:首次公开发行股票招股意向书")</f>
        <v>新宝股份:首次公开发行股票招股意向书</v>
      </c>
    </row>
    <row r="252" spans="1:3" x14ac:dyDescent="0.15">
      <c r="A252" s="1">
        <v>41639</v>
      </c>
      <c r="B252" t="s">
        <v>10</v>
      </c>
      <c r="C252" s="2" t="str">
        <f>HYPERLINK("http://snap.windin.com/ns/bulletin.php?id=21726692&amp;type=1", "新宝股份:首次公开发行股票招股意向书摘要")</f>
        <v>新宝股份:首次公开发行股票招股意向书摘要</v>
      </c>
    </row>
    <row r="253" spans="1:3" x14ac:dyDescent="0.15">
      <c r="A253" s="1">
        <v>41458</v>
      </c>
      <c r="B253" t="s">
        <v>54</v>
      </c>
      <c r="C253" s="2" t="str">
        <f>HYPERLINK("http://snap.windin.com/ns/bulletin.php?id=20524066&amp;type=1", "露笑科技:首次公开发行股票上市公告书的更正公告")</f>
        <v>露笑科技:首次公开发行股票上市公告书的更正公告</v>
      </c>
    </row>
    <row r="254" spans="1:3" x14ac:dyDescent="0.15">
      <c r="A254" s="1">
        <v>41458</v>
      </c>
      <c r="B254" t="s">
        <v>54</v>
      </c>
      <c r="C254" s="2" t="str">
        <f>HYPERLINK("http://snap.windin.com/ns/bulletin.php?id=20524058&amp;type=1", "露笑科技:首次公开发行股票上市公告书(更新后)")</f>
        <v>露笑科技:首次公开发行股票上市公告书(更新后)</v>
      </c>
    </row>
    <row r="255" spans="1:3" x14ac:dyDescent="0.15">
      <c r="A255" s="1">
        <v>41235</v>
      </c>
      <c r="B255" t="s">
        <v>55</v>
      </c>
      <c r="C255" s="2" t="str">
        <f>HYPERLINK("http://snap.windin.com/ns/bulletin.php?id=11667430&amp;type=1", "郑煤机:关于刊发H股招股说明书,H股发行价格区间及H股香港公开发售等相关事宜的公告")</f>
        <v>郑煤机:关于刊发H股招股说明书,H股发行价格区间及H股香港公开发售等相关事宜的公告</v>
      </c>
    </row>
    <row r="256" spans="1:3" x14ac:dyDescent="0.15">
      <c r="A256" s="1">
        <v>41214</v>
      </c>
      <c r="B256" t="s">
        <v>56</v>
      </c>
      <c r="C256" s="2" t="str">
        <f>HYPERLINK("http://snap.windin.com/ns/bulletin.php?id=11336110&amp;type=1", "浙江世宝:首次公开发行A股股票上市公告书")</f>
        <v>浙江世宝:首次公开发行A股股票上市公告书</v>
      </c>
    </row>
    <row r="257" spans="1:3" x14ac:dyDescent="0.15">
      <c r="A257" s="1">
        <v>41207</v>
      </c>
      <c r="B257" t="s">
        <v>56</v>
      </c>
      <c r="C257" s="2" t="str">
        <f>HYPERLINK("http://snap.windin.com/ns/bulletin.php?id=11179240&amp;type=1", "浙江世宝:首次公开发行股票招股说明书摘要")</f>
        <v>浙江世宝:首次公开发行股票招股说明书摘要</v>
      </c>
    </row>
    <row r="258" spans="1:3" x14ac:dyDescent="0.15">
      <c r="A258" s="1">
        <v>41207</v>
      </c>
      <c r="B258" t="s">
        <v>56</v>
      </c>
      <c r="C258" s="2" t="str">
        <f>HYPERLINK("http://snap.windin.com/ns/bulletin.php?id=11179230&amp;type=1", "浙江世宝:首次公开发行股票招股说明书")</f>
        <v>浙江世宝:首次公开发行股票招股说明书</v>
      </c>
    </row>
    <row r="259" spans="1:3" x14ac:dyDescent="0.15">
      <c r="A259" s="1">
        <v>41192</v>
      </c>
      <c r="B259" t="s">
        <v>57</v>
      </c>
      <c r="C259" s="2" t="str">
        <f>HYPERLINK("http://snap.windin.com/ns/bulletin.php?id=10979210&amp;type=1", "奥瑞金:首次公开发行股票上市公告书")</f>
        <v>奥瑞金:首次公开发行股票上市公告书</v>
      </c>
    </row>
    <row r="260" spans="1:3" x14ac:dyDescent="0.15">
      <c r="A260" s="1">
        <v>41192</v>
      </c>
      <c r="B260" t="s">
        <v>58</v>
      </c>
      <c r="C260" s="2" t="str">
        <f>HYPERLINK("http://snap.windin.com/ns/bulletin.php?id=10978950&amp;type=1", "腾新食品:首次公开发行股票上市公告书")</f>
        <v>腾新食品:首次公开发行股票上市公告书</v>
      </c>
    </row>
    <row r="261" spans="1:3" x14ac:dyDescent="0.15">
      <c r="A261" s="1">
        <v>41190</v>
      </c>
      <c r="B261" t="s">
        <v>59</v>
      </c>
      <c r="C261" s="2" t="str">
        <f>HYPERLINK("http://snap.windin.com/ns/bulletin.php?id=10952980&amp;type=1", "光一科技:首次公开发行股票并在创业板上市公告书提示性公告")</f>
        <v>光一科技:首次公开发行股票并在创业板上市公告书提示性公告</v>
      </c>
    </row>
    <row r="262" spans="1:3" x14ac:dyDescent="0.15">
      <c r="A262" s="1">
        <v>41190</v>
      </c>
      <c r="B262" t="s">
        <v>59</v>
      </c>
      <c r="C262" s="2" t="str">
        <f>HYPERLINK("http://snap.windin.com/ns/bulletin.php?id=10952880&amp;type=1", "光一科技:首次公开发行股票并在创业板上市上市公告书")</f>
        <v>光一科技:首次公开发行股票并在创业板上市上市公告书</v>
      </c>
    </row>
    <row r="263" spans="1:3" x14ac:dyDescent="0.15">
      <c r="A263" s="1">
        <v>41190</v>
      </c>
      <c r="B263" t="s">
        <v>60</v>
      </c>
      <c r="C263" s="2" t="str">
        <f>HYPERLINK("http://snap.windin.com/ns/bulletin.php?id=10951500&amp;type=1", "洛阳钼业:首次公开发行A股股票招股说明书")</f>
        <v>洛阳钼业:首次公开发行A股股票招股说明书</v>
      </c>
    </row>
    <row r="264" spans="1:3" x14ac:dyDescent="0.15">
      <c r="A264" s="1">
        <v>41190</v>
      </c>
      <c r="B264" t="s">
        <v>60</v>
      </c>
      <c r="C264" s="2" t="str">
        <f>HYPERLINK("http://snap.windin.com/ns/bulletin.php?id=10951470&amp;type=1", "洛阳钼业:首次公开发行股票上市公告书")</f>
        <v>洛阳钼业:首次公开发行股票上市公告书</v>
      </c>
    </row>
    <row r="265" spans="1:3" x14ac:dyDescent="0.15">
      <c r="A265" s="1">
        <v>41180</v>
      </c>
      <c r="B265" t="s">
        <v>56</v>
      </c>
      <c r="C265" s="2" t="str">
        <f>HYPERLINK("http://snap.windin.com/ns/bulletin.php?id=10892860&amp;type=1", "浙江世宝:首次公开发行股票招股意向书摘要")</f>
        <v>浙江世宝:首次公开发行股票招股意向书摘要</v>
      </c>
    </row>
    <row r="266" spans="1:3" x14ac:dyDescent="0.15">
      <c r="A266" s="1">
        <v>41180</v>
      </c>
      <c r="B266" t="s">
        <v>56</v>
      </c>
      <c r="C266" s="2" t="str">
        <f>HYPERLINK("http://snap.windin.com/ns/bulletin.php?id=10892820&amp;type=1", "浙江世宝:首次公开发行股票招股意向书")</f>
        <v>浙江世宝:首次公开发行股票招股意向书</v>
      </c>
    </row>
    <row r="267" spans="1:3" x14ac:dyDescent="0.15">
      <c r="A267" s="1">
        <v>41178</v>
      </c>
      <c r="B267" t="s">
        <v>61</v>
      </c>
      <c r="C267" s="2" t="str">
        <f>HYPERLINK("http://snap.windin.com/ns/bulletin.php?id=10818510&amp;type=1", "蒙草抗旱:首次公开发行股票并在创业板上市之上市公告书")</f>
        <v>蒙草抗旱:首次公开发行股票并在创业板上市之上市公告书</v>
      </c>
    </row>
    <row r="268" spans="1:3" x14ac:dyDescent="0.15">
      <c r="A268" s="1">
        <v>41178</v>
      </c>
      <c r="B268" t="s">
        <v>61</v>
      </c>
      <c r="C268" s="2" t="str">
        <f>HYPERLINK("http://snap.windin.com/ns/bulletin.php?id=10818400&amp;type=1", "蒙草抗旱:首次公开发行股票并在创业板上市公告书提示性公告")</f>
        <v>蒙草抗旱:首次公开发行股票并在创业板上市公告书提示性公告</v>
      </c>
    </row>
    <row r="269" spans="1:3" x14ac:dyDescent="0.15">
      <c r="A269" s="1">
        <v>41178</v>
      </c>
      <c r="B269" t="s">
        <v>62</v>
      </c>
      <c r="C269" s="2" t="str">
        <f>HYPERLINK("http://snap.windin.com/ns/bulletin.php?id=10806770&amp;type=1", "东土科技:首次公开发行股票并在创业板上市公告书")</f>
        <v>东土科技:首次公开发行股票并在创业板上市公告书</v>
      </c>
    </row>
    <row r="270" spans="1:3" x14ac:dyDescent="0.15">
      <c r="A270" s="1">
        <v>41178</v>
      </c>
      <c r="B270" t="s">
        <v>62</v>
      </c>
      <c r="C270" s="2" t="str">
        <f>HYPERLINK("http://snap.windin.com/ns/bulletin.php?id=10806710&amp;type=1", "东土科技:首次公开发行股票并在创业板上市上市公告书提示性公告")</f>
        <v>东土科技:首次公开发行股票并在创业板上市上市公告书提示性公告</v>
      </c>
    </row>
    <row r="271" spans="1:3" x14ac:dyDescent="0.15">
      <c r="A271" s="1">
        <v>41176</v>
      </c>
      <c r="B271" t="s">
        <v>57</v>
      </c>
      <c r="C271" s="2" t="str">
        <f>HYPERLINK("http://snap.windin.com/ns/bulletin.php?id=10569660&amp;type=1", "奥瑞金:首次公开发行股票招股说明书摘要")</f>
        <v>奥瑞金:首次公开发行股票招股说明书摘要</v>
      </c>
    </row>
    <row r="272" spans="1:3" x14ac:dyDescent="0.15">
      <c r="A272" s="1">
        <v>41176</v>
      </c>
      <c r="B272" t="s">
        <v>57</v>
      </c>
      <c r="C272" s="2" t="str">
        <f>HYPERLINK("http://snap.windin.com/ns/bulletin.php?id=10569650&amp;type=1", "奥瑞金:首次公开发行股票招股说明书")</f>
        <v>奥瑞金:首次公开发行股票招股说明书</v>
      </c>
    </row>
    <row r="273" spans="1:3" x14ac:dyDescent="0.15">
      <c r="A273" s="1">
        <v>41176</v>
      </c>
      <c r="B273" t="s">
        <v>58</v>
      </c>
      <c r="C273" s="2" t="str">
        <f>HYPERLINK("http://snap.windin.com/ns/bulletin.php?id=10520870&amp;type=1", "腾新食品:首次公开发行股票招股说明书")</f>
        <v>腾新食品:首次公开发行股票招股说明书</v>
      </c>
    </row>
    <row r="274" spans="1:3" x14ac:dyDescent="0.15">
      <c r="A274" s="1">
        <v>41176</v>
      </c>
      <c r="B274" t="s">
        <v>58</v>
      </c>
      <c r="C274" s="2" t="str">
        <f>HYPERLINK("http://snap.windin.com/ns/bulletin.php?id=10520800&amp;type=1", "腾新食品:首次公开发行股票招股说明书摘要")</f>
        <v>腾新食品:首次公开发行股票招股说明书摘要</v>
      </c>
    </row>
    <row r="275" spans="1:3" x14ac:dyDescent="0.15">
      <c r="A275" s="1">
        <v>41173</v>
      </c>
      <c r="B275" t="s">
        <v>59</v>
      </c>
      <c r="C275" s="2" t="str">
        <f>HYPERLINK("http://snap.windin.com/ns/bulletin.php?id=10106860&amp;type=1", "光一科技:首次公开发行股票并在创业板上市招股说明书")</f>
        <v>光一科技:首次公开发行股票并在创业板上市招股说明书</v>
      </c>
    </row>
    <row r="276" spans="1:3" x14ac:dyDescent="0.15">
      <c r="A276" s="1">
        <v>41172</v>
      </c>
      <c r="B276" t="s">
        <v>63</v>
      </c>
      <c r="C276" s="2" t="str">
        <f>HYPERLINK("http://snap.windin.com/ns/bulletin.php?id=10063730&amp;type=1", "新疆浩源:首次公开发行股票上市公告书")</f>
        <v>新疆浩源:首次公开发行股票上市公告书</v>
      </c>
    </row>
    <row r="277" spans="1:3" x14ac:dyDescent="0.15">
      <c r="A277" s="1">
        <v>41171</v>
      </c>
      <c r="B277" t="s">
        <v>64</v>
      </c>
      <c r="C277" s="2" t="str">
        <f>HYPERLINK("http://snap.windin.com/ns/bulletin.php?id=10055650&amp;type=1", "东华测试:首次公开发行股票并在创业板上市上市公告书")</f>
        <v>东华测试:首次公开发行股票并在创业板上市上市公告书</v>
      </c>
    </row>
    <row r="278" spans="1:3" x14ac:dyDescent="0.15">
      <c r="A278" s="1">
        <v>41171</v>
      </c>
      <c r="B278" t="s">
        <v>64</v>
      </c>
      <c r="C278" s="2" t="str">
        <f>HYPERLINK("http://snap.windin.com/ns/bulletin.php?id=10055630&amp;type=1", "东华测试:首次公开发行股票并在创业板上市上市公告书提示性公告")</f>
        <v>东华测试:首次公开发行股票并在创业板上市上市公告书提示性公告</v>
      </c>
    </row>
    <row r="279" spans="1:3" x14ac:dyDescent="0.15">
      <c r="A279" s="1">
        <v>41171</v>
      </c>
      <c r="B279" t="s">
        <v>65</v>
      </c>
      <c r="C279" s="2" t="str">
        <f>HYPERLINK("http://snap.windin.com/ns/bulletin.php?id=10055610&amp;type=1", "永贵电器:首次公开发行股票并在创业板上市上市公告书提示性公告")</f>
        <v>永贵电器:首次公开发行股票并在创业板上市上市公告书提示性公告</v>
      </c>
    </row>
    <row r="280" spans="1:3" x14ac:dyDescent="0.15">
      <c r="A280" s="1">
        <v>41171</v>
      </c>
      <c r="B280" t="s">
        <v>65</v>
      </c>
      <c r="C280" s="2" t="str">
        <f>HYPERLINK("http://snap.windin.com/ns/bulletin.php?id=10055600&amp;type=1", "永贵电器:首次公开发行股票并在创业板上市公告书")</f>
        <v>永贵电器:首次公开发行股票并在创业板上市公告书</v>
      </c>
    </row>
    <row r="281" spans="1:3" x14ac:dyDescent="0.15">
      <c r="A281" s="1">
        <v>41170</v>
      </c>
      <c r="B281" t="s">
        <v>58</v>
      </c>
      <c r="C281" s="2" t="str">
        <f>HYPERLINK("http://snap.windin.com/ns/bulletin.php?id=10047500&amp;type=1", "腾新食品:首次公开发行股票招股意向书摘要(更新后)")</f>
        <v>腾新食品:首次公开发行股票招股意向书摘要(更新后)</v>
      </c>
    </row>
    <row r="282" spans="1:3" x14ac:dyDescent="0.15">
      <c r="A282" s="1">
        <v>41170</v>
      </c>
      <c r="B282" t="s">
        <v>58</v>
      </c>
      <c r="C282" s="2" t="str">
        <f>HYPERLINK("http://snap.windin.com/ns/bulletin.php?id=10047470&amp;type=1", "腾新食品:首次公开发行股票招股意向书(更新后)")</f>
        <v>腾新食品:首次公开发行股票招股意向书(更新后)</v>
      </c>
    </row>
    <row r="283" spans="1:3" x14ac:dyDescent="0.15">
      <c r="A283" s="1">
        <v>41169</v>
      </c>
      <c r="B283" t="s">
        <v>58</v>
      </c>
      <c r="C283" s="2" t="str">
        <f>HYPERLINK("http://snap.windin.com/ns/bulletin.php?id=10036860&amp;type=1", "腾新食品:首次公开发行股票招股意向书摘要")</f>
        <v>腾新食品:首次公开发行股票招股意向书摘要</v>
      </c>
    </row>
    <row r="284" spans="1:3" x14ac:dyDescent="0.15">
      <c r="A284" s="1">
        <v>41169</v>
      </c>
      <c r="B284" t="s">
        <v>58</v>
      </c>
      <c r="C284" s="2" t="str">
        <f>HYPERLINK("http://snap.windin.com/ns/bulletin.php?id=10036850&amp;type=1", "腾新食品:首次公开发行股票招股意向书")</f>
        <v>腾新食品:首次公开发行股票招股意向书</v>
      </c>
    </row>
    <row r="285" spans="1:3" x14ac:dyDescent="0.15">
      <c r="A285" s="1">
        <v>41166</v>
      </c>
      <c r="B285" t="s">
        <v>61</v>
      </c>
      <c r="C285" s="2" t="str">
        <f>HYPERLINK("http://snap.windin.com/ns/bulletin.php?id=10023240&amp;type=1", "蒙草抗旱:首次公开发行股票并在创业板上市招股说明书")</f>
        <v>蒙草抗旱:首次公开发行股票并在创业板上市招股说明书</v>
      </c>
    </row>
    <row r="286" spans="1:3" x14ac:dyDescent="0.15">
      <c r="A286" s="1">
        <v>41164</v>
      </c>
      <c r="B286" t="s">
        <v>57</v>
      </c>
      <c r="C286" s="2" t="str">
        <f>HYPERLINK("http://snap.windin.com/ns/bulletin.php?id=10001570&amp;type=1", "奥瑞金:首次公开发行股票招股意向书")</f>
        <v>奥瑞金:首次公开发行股票招股意向书</v>
      </c>
    </row>
    <row r="287" spans="1:3" x14ac:dyDescent="0.15">
      <c r="A287" s="1">
        <v>41164</v>
      </c>
      <c r="B287" t="s">
        <v>57</v>
      </c>
      <c r="C287" s="2" t="str">
        <f>HYPERLINK("http://snap.windin.com/ns/bulletin.php?id=10001560&amp;type=1", "奥瑞金:首次公开发行股票招股意向书摘要")</f>
        <v>奥瑞金:首次公开发行股票招股意向书摘要</v>
      </c>
    </row>
    <row r="288" spans="1:3" x14ac:dyDescent="0.15">
      <c r="A288" s="1">
        <v>41163</v>
      </c>
      <c r="B288" t="s">
        <v>59</v>
      </c>
      <c r="C288" s="2" t="str">
        <f>HYPERLINK("http://snap.windin.com/ns/bulletin.php?id=2572399&amp;type=1", "光一科技:首次公开发行股票并在创业板上市招股意向书")</f>
        <v>光一科技:首次公开发行股票并在创业板上市招股意向书</v>
      </c>
    </row>
    <row r="289" spans="1:3" x14ac:dyDescent="0.15">
      <c r="A289" s="1">
        <v>41163</v>
      </c>
      <c r="B289" t="s">
        <v>65</v>
      </c>
      <c r="C289" s="2" t="str">
        <f>HYPERLINK("http://snap.windin.com/ns/bulletin.php?id=2572261&amp;type=1", "永贵电器:首次公开发行股票并在创业板上市招股说明书")</f>
        <v>永贵电器:首次公开发行股票并在创业板上市招股说明书</v>
      </c>
    </row>
    <row r="290" spans="1:3" x14ac:dyDescent="0.15">
      <c r="A290" s="1">
        <v>41163</v>
      </c>
      <c r="B290" t="s">
        <v>66</v>
      </c>
      <c r="C290" s="2" t="str">
        <f>HYPERLINK("http://snap.windin.com/ns/bulletin.php?id=2572247&amp;type=1", "北信源:首次公开发行股票并在创业板上市公告书")</f>
        <v>北信源:首次公开发行股票并在创业板上市公告书</v>
      </c>
    </row>
    <row r="291" spans="1:3" x14ac:dyDescent="0.15">
      <c r="A291" s="1">
        <v>41163</v>
      </c>
      <c r="B291" t="s">
        <v>66</v>
      </c>
      <c r="C291" s="2" t="str">
        <f>HYPERLINK("http://snap.windin.com/ns/bulletin.php?id=2572243&amp;type=1", "北信源:首次公开发行股票并在创业板上市上市公告书提示性公告")</f>
        <v>北信源:首次公开发行股票并在创业板上市上市公告书提示性公告</v>
      </c>
    </row>
    <row r="292" spans="1:3" x14ac:dyDescent="0.15">
      <c r="A292" s="1">
        <v>41162</v>
      </c>
      <c r="B292" t="s">
        <v>60</v>
      </c>
      <c r="C292" s="2" t="str">
        <f>HYPERLINK("http://snap.windin.com/ns/bulletin.php?id=2571086&amp;type=1", "洛阳钼业:首次公开发行A股股票招股意向书附录二")</f>
        <v>洛阳钼业:首次公开发行A股股票招股意向书附录二</v>
      </c>
    </row>
    <row r="293" spans="1:3" x14ac:dyDescent="0.15">
      <c r="A293" s="1">
        <v>41162</v>
      </c>
      <c r="B293" t="s">
        <v>60</v>
      </c>
      <c r="C293" s="2" t="str">
        <f>HYPERLINK("http://snap.windin.com/ns/bulletin.php?id=2571081&amp;type=1", "洛阳钼业:首次公开发行A股股票招股意向书附录一")</f>
        <v>洛阳钼业:首次公开发行A股股票招股意向书附录一</v>
      </c>
    </row>
    <row r="294" spans="1:3" x14ac:dyDescent="0.15">
      <c r="A294" s="1">
        <v>41162</v>
      </c>
      <c r="B294" t="s">
        <v>60</v>
      </c>
      <c r="C294" s="2" t="str">
        <f>HYPERLINK("http://snap.windin.com/ns/bulletin.php?id=2571080&amp;type=1", "洛阳钼业:首次公开发行A股股票招股意向书摘要")</f>
        <v>洛阳钼业:首次公开发行A股股票招股意向书摘要</v>
      </c>
    </row>
    <row r="295" spans="1:3" x14ac:dyDescent="0.15">
      <c r="A295" s="1">
        <v>41162</v>
      </c>
      <c r="B295" t="s">
        <v>60</v>
      </c>
      <c r="C295" s="2" t="str">
        <f>HYPERLINK("http://snap.windin.com/ns/bulletin.php?id=2571079&amp;type=1", "洛阳钼业:首次公开发行A股股票招股意向书")</f>
        <v>洛阳钼业:首次公开发行A股股票招股意向书</v>
      </c>
    </row>
    <row r="296" spans="1:3" x14ac:dyDescent="0.15">
      <c r="A296" s="1">
        <v>41162</v>
      </c>
      <c r="B296" t="s">
        <v>63</v>
      </c>
      <c r="C296" s="2" t="str">
        <f>HYPERLINK("http://snap.windin.com/ns/bulletin.php?id=2571048&amp;type=1", "新疆浩源:首次公开发行股票并上市招股说明书")</f>
        <v>新疆浩源:首次公开发行股票并上市招股说明书</v>
      </c>
    </row>
    <row r="297" spans="1:3" x14ac:dyDescent="0.15">
      <c r="A297" s="1">
        <v>41162</v>
      </c>
      <c r="B297" t="s">
        <v>63</v>
      </c>
      <c r="C297" s="2" t="str">
        <f>HYPERLINK("http://snap.windin.com/ns/bulletin.php?id=2571047&amp;type=1", "新疆浩源:首次公开发行股票招股说明书摘要")</f>
        <v>新疆浩源:首次公开发行股票招股说明书摘要</v>
      </c>
    </row>
    <row r="298" spans="1:3" x14ac:dyDescent="0.15">
      <c r="A298" s="1">
        <v>41162</v>
      </c>
      <c r="B298" t="s">
        <v>67</v>
      </c>
      <c r="C298" s="2" t="str">
        <f>HYPERLINK("http://snap.windin.com/ns/bulletin.php?id=2571046&amp;type=1", "美盛文化:首次公开发行股票上市公告书")</f>
        <v>美盛文化:首次公开发行股票上市公告书</v>
      </c>
    </row>
    <row r="299" spans="1:3" x14ac:dyDescent="0.15">
      <c r="A299" s="1">
        <v>41162</v>
      </c>
      <c r="B299" t="s">
        <v>68</v>
      </c>
      <c r="C299" s="2" t="str">
        <f>HYPERLINK("http://snap.windin.com/ns/bulletin.php?id=2571042&amp;type=1", "博实股份:首次公开发行股票上市公告书")</f>
        <v>博实股份:首次公开发行股票上市公告书</v>
      </c>
    </row>
    <row r="300" spans="1:3" x14ac:dyDescent="0.15">
      <c r="A300" s="1">
        <v>41162</v>
      </c>
      <c r="B300" t="s">
        <v>62</v>
      </c>
      <c r="C300" s="2" t="str">
        <f>HYPERLINK("http://snap.windin.com/ns/bulletin.php?id=2571040&amp;type=1", "东土科技:首次公开发行股票并在创业板上市招股说明书")</f>
        <v>东土科技:首次公开发行股票并在创业板上市招股说明书</v>
      </c>
    </row>
    <row r="301" spans="1:3" x14ac:dyDescent="0.15">
      <c r="A301" s="1">
        <v>41159</v>
      </c>
      <c r="B301" t="s">
        <v>64</v>
      </c>
      <c r="C301" s="2" t="str">
        <f>HYPERLINK("http://snap.windin.com/ns/bulletin.php?id=2569166&amp;type=1", "东华测试:首次公开发行股票并在创业板上市招股说明书")</f>
        <v>东华测试:首次公开发行股票并在创业板上市招股说明书</v>
      </c>
    </row>
    <row r="302" spans="1:3" x14ac:dyDescent="0.15">
      <c r="A302" s="1">
        <v>41157</v>
      </c>
      <c r="B302" t="s">
        <v>69</v>
      </c>
      <c r="C302" s="2" t="str">
        <f>HYPERLINK("http://snap.windin.com/ns/bulletin.php?id=2565224&amp;type=1", "渤海轮渡:首次公开发行A股股票上市公告书")</f>
        <v>渤海轮渡:首次公开发行A股股票上市公告书</v>
      </c>
    </row>
    <row r="303" spans="1:3" x14ac:dyDescent="0.15">
      <c r="A303" s="1">
        <v>41157</v>
      </c>
      <c r="B303" t="s">
        <v>69</v>
      </c>
      <c r="C303" s="2" t="str">
        <f>HYPERLINK("http://snap.windin.com/ns/bulletin.php?id=2565222&amp;type=1", "渤海轮渡:首次公开发行A股股票招股说明书")</f>
        <v>渤海轮渡:首次公开发行A股股票招股说明书</v>
      </c>
    </row>
    <row r="304" spans="1:3" x14ac:dyDescent="0.15">
      <c r="A304" s="1">
        <v>41156</v>
      </c>
      <c r="B304" t="s">
        <v>70</v>
      </c>
      <c r="C304" s="2" t="str">
        <f>HYPERLINK("http://snap.windin.com/ns/bulletin.php?id=2520418&amp;type=1", "煌上煌:首次公开发行股票上市公告书")</f>
        <v>煌上煌:首次公开发行股票上市公告书</v>
      </c>
    </row>
    <row r="305" spans="1:3" x14ac:dyDescent="0.15">
      <c r="A305" s="1">
        <v>41156</v>
      </c>
      <c r="B305" t="s">
        <v>71</v>
      </c>
      <c r="C305" s="2" t="str">
        <f>HYPERLINK("http://snap.windin.com/ns/bulletin.php?id=2520415&amp;type=1", "百洋股份:首次公开发行股票上市公告书")</f>
        <v>百洋股份:首次公开发行股票上市公告书</v>
      </c>
    </row>
    <row r="306" spans="1:3" x14ac:dyDescent="0.15">
      <c r="A306" s="1">
        <v>41156</v>
      </c>
      <c r="B306" t="s">
        <v>72</v>
      </c>
      <c r="C306" s="2" t="str">
        <f>HYPERLINK("http://snap.windin.com/ns/bulletin.php?id=2520402&amp;type=1", "红旗连锁:首次公开发行股票上市公告书")</f>
        <v>红旗连锁:首次公开发行股票上市公告书</v>
      </c>
    </row>
    <row r="307" spans="1:3" x14ac:dyDescent="0.15">
      <c r="A307" s="1">
        <v>41155</v>
      </c>
      <c r="B307" t="s">
        <v>66</v>
      </c>
      <c r="C307" s="2" t="str">
        <f>HYPERLINK("http://snap.windin.com/ns/bulletin.php?id=2518551&amp;type=1", "北信源:首次公开发行股票并在创业板上市招股说明书")</f>
        <v>北信源:首次公开发行股票并在创业板上市招股说明书</v>
      </c>
    </row>
    <row r="308" spans="1:3" x14ac:dyDescent="0.15">
      <c r="A308" s="1">
        <v>41152</v>
      </c>
      <c r="B308" t="s">
        <v>63</v>
      </c>
      <c r="C308" s="2" t="str">
        <f>HYPERLINK("http://snap.windin.com/ns/bulletin.php?id=2500245&amp;type=1", "新疆浩源:首次公开发行股票并上市招股意向书")</f>
        <v>新疆浩源:首次公开发行股票并上市招股意向书</v>
      </c>
    </row>
    <row r="309" spans="1:3" x14ac:dyDescent="0.15">
      <c r="A309" s="1">
        <v>41152</v>
      </c>
      <c r="B309" t="s">
        <v>63</v>
      </c>
      <c r="C309" s="2" t="str">
        <f>HYPERLINK("http://snap.windin.com/ns/bulletin.php?id=2499511&amp;type=1", "新疆浩源:首次公开发行股票招股意向书摘要")</f>
        <v>新疆浩源:首次公开发行股票招股意向书摘要</v>
      </c>
    </row>
    <row r="310" spans="1:3" x14ac:dyDescent="0.15">
      <c r="A310" s="1">
        <v>41152</v>
      </c>
      <c r="B310" t="s">
        <v>68</v>
      </c>
      <c r="C310" s="2" t="str">
        <f>HYPERLINK("http://snap.windin.com/ns/bulletin.php?id=2499382&amp;type=1", "博实股份:首次公开发行股票招股说明书")</f>
        <v>博实股份:首次公开发行股票招股说明书</v>
      </c>
    </row>
    <row r="311" spans="1:3" x14ac:dyDescent="0.15">
      <c r="A311" s="1">
        <v>41152</v>
      </c>
      <c r="B311" t="s">
        <v>68</v>
      </c>
      <c r="C311" s="2" t="str">
        <f>HYPERLINK("http://snap.windin.com/ns/bulletin.php?id=2499248&amp;type=1", "博实股份:首次公开发行股票招股说明书摘要")</f>
        <v>博实股份:首次公开发行股票招股说明书摘要</v>
      </c>
    </row>
    <row r="312" spans="1:3" x14ac:dyDescent="0.15">
      <c r="A312" s="1">
        <v>41152</v>
      </c>
      <c r="B312" t="s">
        <v>61</v>
      </c>
      <c r="C312" s="2" t="str">
        <f>HYPERLINK("http://snap.windin.com/ns/bulletin.php?id=2498670&amp;type=1", "蒙草抗旱:首次公开发行股票并在创业板上市招股意向书")</f>
        <v>蒙草抗旱:首次公开发行股票并在创业板上市招股意向书</v>
      </c>
    </row>
    <row r="313" spans="1:3" x14ac:dyDescent="0.15">
      <c r="A313" s="1">
        <v>41152</v>
      </c>
      <c r="B313" t="s">
        <v>67</v>
      </c>
      <c r="C313" s="2" t="str">
        <f>HYPERLINK("http://snap.windin.com/ns/bulletin.php?id=2497982&amp;type=1", "美盛文化:首次公开发行股票招股说明书摘要")</f>
        <v>美盛文化:首次公开发行股票招股说明书摘要</v>
      </c>
    </row>
    <row r="314" spans="1:3" x14ac:dyDescent="0.15">
      <c r="A314" s="1">
        <v>41152</v>
      </c>
      <c r="B314" t="s">
        <v>67</v>
      </c>
      <c r="C314" s="2" t="str">
        <f>HYPERLINK("http://snap.windin.com/ns/bulletin.php?id=2496870&amp;type=1", "美盛文化:首次公开发行股票招股说明书")</f>
        <v>美盛文化:首次公开发行股票招股说明书</v>
      </c>
    </row>
    <row r="315" spans="1:3" x14ac:dyDescent="0.15">
      <c r="A315" s="1">
        <v>41152</v>
      </c>
      <c r="B315" t="s">
        <v>62</v>
      </c>
      <c r="C315" s="2" t="str">
        <f>HYPERLINK("http://snap.windin.com/ns/bulletin.php?id=2496851&amp;type=1", "东土科技:首次公开发行股票并在创业板上市招股意向书")</f>
        <v>东土科技:首次公开发行股票并在创业板上市招股意向书</v>
      </c>
    </row>
    <row r="316" spans="1:3" x14ac:dyDescent="0.15">
      <c r="A316" s="1">
        <v>41151</v>
      </c>
      <c r="B316" t="s">
        <v>64</v>
      </c>
      <c r="C316" s="2" t="str">
        <f>HYPERLINK("http://snap.windin.com/ns/bulletin.php?id=2467247&amp;type=1", "东华测试:首次公开发行股票并在创业板上市招股意向书")</f>
        <v>东华测试:首次公开发行股票并在创业板上市招股意向书</v>
      </c>
    </row>
    <row r="317" spans="1:3" x14ac:dyDescent="0.15">
      <c r="A317" s="1">
        <v>41149</v>
      </c>
      <c r="B317" t="s">
        <v>65</v>
      </c>
      <c r="C317" s="2" t="str">
        <f>HYPERLINK("http://snap.windin.com/ns/bulletin.php?id=2419255&amp;type=1", "永贵电器:首次公开发行股票并在创业板上市招股意向书")</f>
        <v>永贵电器:首次公开发行股票并在创业板上市招股意向书</v>
      </c>
    </row>
    <row r="318" spans="1:3" x14ac:dyDescent="0.15">
      <c r="A318" s="1">
        <v>41148</v>
      </c>
      <c r="B318" t="s">
        <v>66</v>
      </c>
      <c r="C318" s="2" t="str">
        <f>HYPERLINK("http://snap.windin.com/ns/bulletin.php?id=2403632&amp;type=1", "北信源:首次公开发行股票并在创业板上市招股意向书")</f>
        <v>北信源:首次公开发行股票并在创业板上市招股意向书</v>
      </c>
    </row>
    <row r="319" spans="1:3" x14ac:dyDescent="0.15">
      <c r="A319" s="1">
        <v>41148</v>
      </c>
      <c r="B319" t="s">
        <v>72</v>
      </c>
      <c r="C319" s="2" t="str">
        <f>HYPERLINK("http://snap.windin.com/ns/bulletin.php?id=2403108&amp;type=1", "红旗连锁:首次公开发行股票招股说明书摘要")</f>
        <v>红旗连锁:首次公开发行股票招股说明书摘要</v>
      </c>
    </row>
    <row r="320" spans="1:3" x14ac:dyDescent="0.15">
      <c r="A320" s="1">
        <v>41148</v>
      </c>
      <c r="B320" t="s">
        <v>72</v>
      </c>
      <c r="C320" s="2" t="str">
        <f>HYPERLINK("http://snap.windin.com/ns/bulletin.php?id=2403100&amp;type=1", "红旗连锁:首次公开发行股票招股说明书")</f>
        <v>红旗连锁:首次公开发行股票招股说明书</v>
      </c>
    </row>
    <row r="321" spans="1:3" x14ac:dyDescent="0.15">
      <c r="A321" s="1">
        <v>41148</v>
      </c>
      <c r="B321" t="s">
        <v>70</v>
      </c>
      <c r="C321" s="2" t="str">
        <f>HYPERLINK("http://snap.windin.com/ns/bulletin.php?id=2403082&amp;type=1", "煌上煌:首次公开发行股票招股说明书")</f>
        <v>煌上煌:首次公开发行股票招股说明书</v>
      </c>
    </row>
    <row r="322" spans="1:3" x14ac:dyDescent="0.15">
      <c r="A322" s="1">
        <v>41148</v>
      </c>
      <c r="B322" t="s">
        <v>70</v>
      </c>
      <c r="C322" s="2" t="str">
        <f>HYPERLINK("http://snap.windin.com/ns/bulletin.php?id=2403081&amp;type=1", "煌上煌:首次公开发行股票招股说明书摘要")</f>
        <v>煌上煌:首次公开发行股票招股说明书摘要</v>
      </c>
    </row>
    <row r="323" spans="1:3" x14ac:dyDescent="0.15">
      <c r="A323" s="1">
        <v>41145</v>
      </c>
      <c r="B323" t="s">
        <v>68</v>
      </c>
      <c r="C323" s="2" t="str">
        <f>HYPERLINK("http://snap.windin.com/ns/bulletin.php?id=2357155&amp;type=1", "博实股份:首次公开发行股票招股意向书摘要")</f>
        <v>博实股份:首次公开发行股票招股意向书摘要</v>
      </c>
    </row>
    <row r="324" spans="1:3" x14ac:dyDescent="0.15">
      <c r="A324" s="1">
        <v>41145</v>
      </c>
      <c r="B324" t="s">
        <v>68</v>
      </c>
      <c r="C324" s="2" t="str">
        <f>HYPERLINK("http://snap.windin.com/ns/bulletin.php?id=2357149&amp;type=1", "博实股份:首次公开发行股票招股意向书")</f>
        <v>博实股份:首次公开发行股票招股意向书</v>
      </c>
    </row>
    <row r="325" spans="1:3" x14ac:dyDescent="0.15">
      <c r="A325" s="1">
        <v>41145</v>
      </c>
      <c r="B325" t="s">
        <v>67</v>
      </c>
      <c r="C325" s="2" t="str">
        <f>HYPERLINK("http://snap.windin.com/ns/bulletin.php?id=2353074&amp;type=1", "美盛文化:首次公开发行股票招股意向书摘要")</f>
        <v>美盛文化:首次公开发行股票招股意向书摘要</v>
      </c>
    </row>
    <row r="326" spans="1:3" x14ac:dyDescent="0.15">
      <c r="A326" s="1">
        <v>41145</v>
      </c>
      <c r="B326" t="s">
        <v>67</v>
      </c>
      <c r="C326" s="2" t="str">
        <f>HYPERLINK("http://snap.windin.com/ns/bulletin.php?id=2352886&amp;type=1", "美盛文化:首次公开发行股票招股意向书")</f>
        <v>美盛文化:首次公开发行股票招股意向书</v>
      </c>
    </row>
    <row r="327" spans="1:3" x14ac:dyDescent="0.15">
      <c r="A327" s="1">
        <v>41145</v>
      </c>
      <c r="B327" t="s">
        <v>71</v>
      </c>
      <c r="C327" s="2" t="str">
        <f>HYPERLINK("http://snap.windin.com/ns/bulletin.php?id=2348204&amp;type=1", "百洋股份:首次公开发行股票招股说明书摘要")</f>
        <v>百洋股份:首次公开发行股票招股说明书摘要</v>
      </c>
    </row>
    <row r="328" spans="1:3" x14ac:dyDescent="0.15">
      <c r="A328" s="1">
        <v>41145</v>
      </c>
      <c r="B328" t="s">
        <v>71</v>
      </c>
      <c r="C328" s="2" t="str">
        <f>HYPERLINK("http://snap.windin.com/ns/bulletin.php?id=2348164&amp;type=1", "百洋股份:首次公开发行股票招股说明书")</f>
        <v>百洋股份:首次公开发行股票招股说明书</v>
      </c>
    </row>
    <row r="329" spans="1:3" x14ac:dyDescent="0.15">
      <c r="A329" s="1">
        <v>41144</v>
      </c>
      <c r="B329" t="s">
        <v>73</v>
      </c>
      <c r="C329" s="2" t="str">
        <f>HYPERLINK("http://snap.windin.com/ns/bulletin.php?id=2308498&amp;type=1", "新华龙:首次公开发行股票招股说明书")</f>
        <v>新华龙:首次公开发行股票招股说明书</v>
      </c>
    </row>
    <row r="330" spans="1:3" x14ac:dyDescent="0.15">
      <c r="A330" s="1">
        <v>41144</v>
      </c>
      <c r="B330" t="s">
        <v>73</v>
      </c>
      <c r="C330" s="2" t="str">
        <f>HYPERLINK("http://snap.windin.com/ns/bulletin.php?id=2308277&amp;type=1", "新华龙:首次公开发行股票上市公告书")</f>
        <v>新华龙:首次公开发行股票上市公告书</v>
      </c>
    </row>
    <row r="331" spans="1:3" x14ac:dyDescent="0.15">
      <c r="A331" s="1">
        <v>41141</v>
      </c>
      <c r="B331" t="s">
        <v>74</v>
      </c>
      <c r="C331" s="2" t="str">
        <f>HYPERLINK("http://snap.windin.com/ns/bulletin.php?id=2243276&amp;type=1", "华鹏飞:首次公开发行股票并在创业板上市公告书")</f>
        <v>华鹏飞:首次公开发行股票并在创业板上市公告书</v>
      </c>
    </row>
    <row r="332" spans="1:3" x14ac:dyDescent="0.15">
      <c r="A332" s="1">
        <v>41141</v>
      </c>
      <c r="B332" t="s">
        <v>74</v>
      </c>
      <c r="C332" s="2" t="str">
        <f>HYPERLINK("http://snap.windin.com/ns/bulletin.php?id=2243269&amp;type=1", "华鹏飞:首次公开发行股票并在创业板上市上市公告书提示性公告")</f>
        <v>华鹏飞:首次公开发行股票并在创业板上市上市公告书提示性公告</v>
      </c>
    </row>
    <row r="333" spans="1:3" x14ac:dyDescent="0.15">
      <c r="A333" s="1">
        <v>41138</v>
      </c>
      <c r="B333" t="s">
        <v>71</v>
      </c>
      <c r="C333" s="2" t="str">
        <f>HYPERLINK("http://snap.windin.com/ns/bulletin.php?id=2231668&amp;type=1", "百洋股份:首次公开发行股票招股意向书摘要（更新后）")</f>
        <v>百洋股份:首次公开发行股票招股意向书摘要（更新后）</v>
      </c>
    </row>
    <row r="334" spans="1:3" x14ac:dyDescent="0.15">
      <c r="A334" s="1">
        <v>41138</v>
      </c>
      <c r="B334" t="s">
        <v>71</v>
      </c>
      <c r="C334" s="2" t="str">
        <f>HYPERLINK("http://snap.windin.com/ns/bulletin.php?id=2231667&amp;type=1", "百洋股份:首次公开发行股票招股意向书（更新后）")</f>
        <v>百洋股份:首次公开发行股票招股意向书（更新后）</v>
      </c>
    </row>
    <row r="335" spans="1:3" x14ac:dyDescent="0.15">
      <c r="A335" s="1">
        <v>41138</v>
      </c>
      <c r="B335" t="s">
        <v>72</v>
      </c>
      <c r="C335" s="2" t="str">
        <f>HYPERLINK("http://snap.windin.com/ns/bulletin.php?id=2231660&amp;type=1", "红旗连锁:首次公开发行股票招股意向书")</f>
        <v>红旗连锁:首次公开发行股票招股意向书</v>
      </c>
    </row>
    <row r="336" spans="1:3" x14ac:dyDescent="0.15">
      <c r="A336" s="1">
        <v>41138</v>
      </c>
      <c r="B336" t="s">
        <v>72</v>
      </c>
      <c r="C336" s="2" t="str">
        <f>HYPERLINK("http://snap.windin.com/ns/bulletin.php?id=2231655&amp;type=1", "红旗连锁:首次公开发行股票招股意向书摘要")</f>
        <v>红旗连锁:首次公开发行股票招股意向书摘要</v>
      </c>
    </row>
    <row r="337" spans="1:3" x14ac:dyDescent="0.15">
      <c r="A337" s="1">
        <v>41138</v>
      </c>
      <c r="B337" t="s">
        <v>71</v>
      </c>
      <c r="C337" s="2" t="str">
        <f>HYPERLINK("http://snap.windin.com/ns/bulletin.php?id=2231572&amp;type=1", "百洋股份:首次公开发行股票招股意向书")</f>
        <v>百洋股份:首次公开发行股票招股意向书</v>
      </c>
    </row>
    <row r="338" spans="1:3" x14ac:dyDescent="0.15">
      <c r="A338" s="1">
        <v>41138</v>
      </c>
      <c r="B338" t="s">
        <v>71</v>
      </c>
      <c r="C338" s="2" t="str">
        <f>HYPERLINK("http://snap.windin.com/ns/bulletin.php?id=2231571&amp;type=1", "百洋股份:首次公开发行股票招股意向书摘要")</f>
        <v>百洋股份:首次公开发行股票招股意向书摘要</v>
      </c>
    </row>
    <row r="339" spans="1:3" x14ac:dyDescent="0.15">
      <c r="A339" s="1">
        <v>41137</v>
      </c>
      <c r="B339" t="s">
        <v>75</v>
      </c>
      <c r="C339" s="2" t="str">
        <f>HYPERLINK("http://snap.windin.com/ns/bulletin.php?id=2229636&amp;type=1", "金卡股份:首次公开发行股票并在创业板上市上市公告书提示性公告")</f>
        <v>金卡股份:首次公开发行股票并在创业板上市上市公告书提示性公告</v>
      </c>
    </row>
    <row r="340" spans="1:3" x14ac:dyDescent="0.15">
      <c r="A340" s="1">
        <v>41137</v>
      </c>
      <c r="B340" t="s">
        <v>75</v>
      </c>
      <c r="C340" s="2" t="str">
        <f>HYPERLINK("http://snap.windin.com/ns/bulletin.php?id=2229634&amp;type=1", "金卡股份:首次公开发行股票并在创业板上市上市公告书")</f>
        <v>金卡股份:首次公开发行股票并在创业板上市上市公告书</v>
      </c>
    </row>
    <row r="341" spans="1:3" x14ac:dyDescent="0.15">
      <c r="A341" s="1">
        <v>41137</v>
      </c>
      <c r="B341" t="s">
        <v>76</v>
      </c>
      <c r="C341" s="2" t="str">
        <f>HYPERLINK("http://snap.windin.com/ns/bulletin.php?id=2229516&amp;type=1", "长亮科技:首次公开发行股票并在创业板上市公告书提示性公告")</f>
        <v>长亮科技:首次公开发行股票并在创业板上市公告书提示性公告</v>
      </c>
    </row>
    <row r="342" spans="1:3" x14ac:dyDescent="0.15">
      <c r="A342" s="1">
        <v>41137</v>
      </c>
      <c r="B342" t="s">
        <v>76</v>
      </c>
      <c r="C342" s="2" t="str">
        <f>HYPERLINK("http://snap.windin.com/ns/bulletin.php?id=2229515&amp;type=1", "长亮科技:首次公开发行股票并在创业板上市之上市公告书")</f>
        <v>长亮科技:首次公开发行股票并在创业板上市之上市公告书</v>
      </c>
    </row>
    <row r="343" spans="1:3" x14ac:dyDescent="0.15">
      <c r="A343" s="1">
        <v>41137</v>
      </c>
      <c r="B343" t="s">
        <v>77</v>
      </c>
      <c r="C343" s="2" t="str">
        <f>HYPERLINK("http://snap.windin.com/ns/bulletin.php?id=2229437&amp;type=1", "龙宇燃油:首次公开发行股票招股说明书")</f>
        <v>龙宇燃油:首次公开发行股票招股说明书</v>
      </c>
    </row>
    <row r="344" spans="1:3" x14ac:dyDescent="0.15">
      <c r="A344" s="1">
        <v>41137</v>
      </c>
      <c r="B344" t="s">
        <v>77</v>
      </c>
      <c r="C344" s="2" t="str">
        <f>HYPERLINK("http://snap.windin.com/ns/bulletin.php?id=2229399&amp;type=1", "龙宇燃油:首次公开发行A股股票上市公告书")</f>
        <v>龙宇燃油:首次公开发行A股股票上市公告书</v>
      </c>
    </row>
    <row r="345" spans="1:3" x14ac:dyDescent="0.15">
      <c r="A345" s="1">
        <v>41137</v>
      </c>
      <c r="B345" t="s">
        <v>78</v>
      </c>
      <c r="C345" s="2" t="str">
        <f>HYPERLINK("http://snap.windin.com/ns/bulletin.php?id=2228915&amp;type=1", "泰格医药:首次公开发行股票并在创业板上市上市公告书提示性公告")</f>
        <v>泰格医药:首次公开发行股票并在创业板上市上市公告书提示性公告</v>
      </c>
    </row>
    <row r="346" spans="1:3" x14ac:dyDescent="0.15">
      <c r="A346" s="1">
        <v>41137</v>
      </c>
      <c r="B346" t="s">
        <v>78</v>
      </c>
      <c r="C346" s="2" t="str">
        <f>HYPERLINK("http://snap.windin.com/ns/bulletin.php?id=2228914&amp;type=1", "泰格医药:首次公开发行股票并在创业板上市公告书")</f>
        <v>泰格医药:首次公开发行股票并在创业板上市公告书</v>
      </c>
    </row>
    <row r="347" spans="1:3" x14ac:dyDescent="0.15">
      <c r="A347" s="1">
        <v>41136</v>
      </c>
      <c r="B347" t="s">
        <v>79</v>
      </c>
      <c r="C347" s="2" t="str">
        <f>HYPERLINK("http://snap.windin.com/ns/bulletin.php?id=2227212&amp;type=1", "顾地科技:首次公开发行股票上市公告书")</f>
        <v>顾地科技:首次公开发行股票上市公告书</v>
      </c>
    </row>
    <row r="348" spans="1:3" x14ac:dyDescent="0.15">
      <c r="A348" s="1">
        <v>41131</v>
      </c>
      <c r="B348" t="s">
        <v>70</v>
      </c>
      <c r="C348" s="2" t="str">
        <f>HYPERLINK("http://snap.windin.com/ns/bulletin.php?id=2211897&amp;type=1", "煌上煌:首次公开发行股票招股意向书摘要")</f>
        <v>煌上煌:首次公开发行股票招股意向书摘要</v>
      </c>
    </row>
    <row r="349" spans="1:3" x14ac:dyDescent="0.15">
      <c r="A349" s="1">
        <v>41131</v>
      </c>
      <c r="B349" t="s">
        <v>70</v>
      </c>
      <c r="C349" s="2" t="str">
        <f>HYPERLINK("http://snap.windin.com/ns/bulletin.php?id=2211888&amp;type=1", "煌上煌:首次公开发行股票招股意向书")</f>
        <v>煌上煌:首次公开发行股票招股意向书</v>
      </c>
    </row>
    <row r="350" spans="1:3" x14ac:dyDescent="0.15">
      <c r="A350" s="1">
        <v>41131</v>
      </c>
      <c r="B350" t="s">
        <v>69</v>
      </c>
      <c r="C350" s="2" t="str">
        <f>HYPERLINK("http://snap.windin.com/ns/bulletin.php?id=2211831&amp;type=1", "渤海轮渡:首次公开发行A股股票招股意向书附录")</f>
        <v>渤海轮渡:首次公开发行A股股票招股意向书附录</v>
      </c>
    </row>
    <row r="351" spans="1:3" x14ac:dyDescent="0.15">
      <c r="A351" s="1">
        <v>41131</v>
      </c>
      <c r="B351" t="s">
        <v>69</v>
      </c>
      <c r="C351" s="2" t="str">
        <f>HYPERLINK("http://snap.windin.com/ns/bulletin.php?id=2211830&amp;type=1", "渤海轮渡:首次公开发行A股股票招股意向书摘要")</f>
        <v>渤海轮渡:首次公开发行A股股票招股意向书摘要</v>
      </c>
    </row>
    <row r="352" spans="1:3" x14ac:dyDescent="0.15">
      <c r="A352" s="1">
        <v>41131</v>
      </c>
      <c r="B352" t="s">
        <v>69</v>
      </c>
      <c r="C352" s="2" t="str">
        <f>HYPERLINK("http://snap.windin.com/ns/bulletin.php?id=2211829&amp;type=1", "渤海轮渡:首次公开发行A股股票招股意向书")</f>
        <v>渤海轮渡:首次公开发行A股股票招股意向书</v>
      </c>
    </row>
    <row r="353" spans="1:3" x14ac:dyDescent="0.15">
      <c r="A353" s="1">
        <v>41131</v>
      </c>
      <c r="B353" t="s">
        <v>74</v>
      </c>
      <c r="C353" s="2" t="str">
        <f>HYPERLINK("http://snap.windin.com/ns/bulletin.php?id=2211541&amp;type=1", "华鹏飞:首次公开发行股票并在创业板上市招股说明书")</f>
        <v>华鹏飞:首次公开发行股票并在创业板上市招股说明书</v>
      </c>
    </row>
    <row r="354" spans="1:3" x14ac:dyDescent="0.15">
      <c r="A354" s="1">
        <v>41130</v>
      </c>
      <c r="B354" t="s">
        <v>80</v>
      </c>
      <c r="C354" s="2" t="str">
        <f>HYPERLINK("http://snap.windin.com/ns/bulletin.php?id=2200273&amp;type=1", "隆鑫通用:首次公开发行A股股票招股说明书")</f>
        <v>隆鑫通用:首次公开发行A股股票招股说明书</v>
      </c>
    </row>
    <row r="355" spans="1:3" x14ac:dyDescent="0.15">
      <c r="A355" s="1">
        <v>41130</v>
      </c>
      <c r="B355" t="s">
        <v>80</v>
      </c>
      <c r="C355" s="2" t="str">
        <f>HYPERLINK("http://snap.windin.com/ns/bulletin.php?id=2200272&amp;type=1", "隆鑫通用:首次公开发行A股股票上市公告书")</f>
        <v>隆鑫通用:首次公开发行A股股票上市公告书</v>
      </c>
    </row>
    <row r="356" spans="1:3" x14ac:dyDescent="0.15">
      <c r="A356" s="1">
        <v>41129</v>
      </c>
      <c r="B356" t="s">
        <v>75</v>
      </c>
      <c r="C356" s="2" t="str">
        <f>HYPERLINK("http://snap.windin.com/ns/bulletin.php?id=2199291&amp;type=1", "金卡股份:首次公开发行股票并在创业板上市招股说明书")</f>
        <v>金卡股份:首次公开发行股票并在创业板上市招股说明书</v>
      </c>
    </row>
    <row r="357" spans="1:3" x14ac:dyDescent="0.15">
      <c r="A357" s="1">
        <v>41128</v>
      </c>
      <c r="B357" t="s">
        <v>76</v>
      </c>
      <c r="C357" s="2" t="str">
        <f>HYPERLINK("http://snap.windin.com/ns/bulletin.php?id=2197855&amp;type=1", "长亮科技:首次公开发行股票并在创业板上市招股说明书")</f>
        <v>长亮科技:首次公开发行股票并在创业板上市招股说明书</v>
      </c>
    </row>
    <row r="358" spans="1:3" x14ac:dyDescent="0.15">
      <c r="A358" s="1">
        <v>41128</v>
      </c>
      <c r="B358" t="s">
        <v>81</v>
      </c>
      <c r="C358" s="2" t="str">
        <f>HYPERLINK("http://snap.windin.com/ns/bulletin.php?id=2197746&amp;type=1", "一拖股份:首次公开发行A股股票招股说明书")</f>
        <v>一拖股份:首次公开发行A股股票招股说明书</v>
      </c>
    </row>
    <row r="359" spans="1:3" x14ac:dyDescent="0.15">
      <c r="A359" s="1">
        <v>41128</v>
      </c>
      <c r="B359" t="s">
        <v>81</v>
      </c>
      <c r="C359" s="2" t="str">
        <f>HYPERLINK("http://snap.windin.com/ns/bulletin.php?id=2197745&amp;type=1", "一拖股份:首次公开发行A股股票上市公告书")</f>
        <v>一拖股份:首次公开发行A股股票上市公告书</v>
      </c>
    </row>
    <row r="360" spans="1:3" x14ac:dyDescent="0.15">
      <c r="A360" s="1">
        <v>41128</v>
      </c>
      <c r="B360" t="s">
        <v>82</v>
      </c>
      <c r="C360" s="2" t="str">
        <f>HYPERLINK("http://snap.windin.com/ns/bulletin.php?id=2197648&amp;type=1", "双成药业:首次公开发行股票上市公告书")</f>
        <v>双成药业:首次公开发行股票上市公告书</v>
      </c>
    </row>
    <row r="361" spans="1:3" x14ac:dyDescent="0.15">
      <c r="A361" s="1">
        <v>41128</v>
      </c>
      <c r="B361" t="s">
        <v>79</v>
      </c>
      <c r="C361" s="2" t="str">
        <f>HYPERLINK("http://snap.windin.com/ns/bulletin.php?id=2197646&amp;type=1", "顾地科技:首次公开发行股票招股说明书摘要")</f>
        <v>顾地科技:首次公开发行股票招股说明书摘要</v>
      </c>
    </row>
    <row r="362" spans="1:3" x14ac:dyDescent="0.15">
      <c r="A362" s="1">
        <v>41128</v>
      </c>
      <c r="B362" t="s">
        <v>79</v>
      </c>
      <c r="C362" s="2" t="str">
        <f>HYPERLINK("http://snap.windin.com/ns/bulletin.php?id=2197639&amp;type=1", "顾地科技:首次公开发行股票招股说明书")</f>
        <v>顾地科技:首次公开发行股票招股说明书</v>
      </c>
    </row>
    <row r="363" spans="1:3" x14ac:dyDescent="0.15">
      <c r="A363" s="1">
        <v>41128</v>
      </c>
      <c r="B363" t="s">
        <v>83</v>
      </c>
      <c r="C363" s="2" t="str">
        <f>HYPERLINK("http://snap.windin.com/ns/bulletin.php?id=2197629&amp;type=1", "远程电缆:首次公开发行股票上市公告书")</f>
        <v>远程电缆:首次公开发行股票上市公告书</v>
      </c>
    </row>
    <row r="364" spans="1:3" x14ac:dyDescent="0.15">
      <c r="A364" s="1">
        <v>41127</v>
      </c>
      <c r="B364" t="s">
        <v>84</v>
      </c>
      <c r="C364" s="2" t="str">
        <f>HYPERLINK("http://snap.windin.com/ns/bulletin.php?id=2195834&amp;type=1", "南大光电:首次公开发行股票并在创业板上市之上市公告书")</f>
        <v>南大光电:首次公开发行股票并在创业板上市之上市公告书</v>
      </c>
    </row>
    <row r="365" spans="1:3" x14ac:dyDescent="0.15">
      <c r="A365" s="1">
        <v>41127</v>
      </c>
      <c r="B365" t="s">
        <v>84</v>
      </c>
      <c r="C365" s="2" t="str">
        <f>HYPERLINK("http://snap.windin.com/ns/bulletin.php?id=2195833&amp;type=1", "南大光电:首次公开发行股票并在创业板上市上市公告书提示性公告")</f>
        <v>南大光电:首次公开发行股票并在创业板上市上市公告书提示性公告</v>
      </c>
    </row>
    <row r="366" spans="1:3" x14ac:dyDescent="0.15">
      <c r="A366" s="1">
        <v>41127</v>
      </c>
      <c r="B366" t="s">
        <v>78</v>
      </c>
      <c r="C366" s="2" t="str">
        <f>HYPERLINK("http://snap.windin.com/ns/bulletin.php?id=2195751&amp;type=1", "泰格医药:首次公开发行股票并在创业板上市招股说明书")</f>
        <v>泰格医药:首次公开发行股票并在创业板上市招股说明书</v>
      </c>
    </row>
    <row r="367" spans="1:3" x14ac:dyDescent="0.15">
      <c r="A367" s="1">
        <v>41121</v>
      </c>
      <c r="B367" t="s">
        <v>85</v>
      </c>
      <c r="C367" s="2" t="str">
        <f>HYPERLINK("http://snap.windin.com/ns/bulletin.php?id=2117686&amp;type=1", "红宇新材:首次公开发行股票并在创业板上市上市公告书")</f>
        <v>红宇新材:首次公开发行股票并在创业板上市上市公告书</v>
      </c>
    </row>
    <row r="368" spans="1:3" x14ac:dyDescent="0.15">
      <c r="A368" s="1">
        <v>41121</v>
      </c>
      <c r="B368" t="s">
        <v>86</v>
      </c>
      <c r="C368" s="2" t="str">
        <f>HYPERLINK("http://snap.windin.com/ns/bulletin.php?id=2077515&amp;type=1", "联创节能:首次公开发行股票并在创业板上市公告书提示性公告")</f>
        <v>联创节能:首次公开发行股票并在创业板上市公告书提示性公告</v>
      </c>
    </row>
    <row r="369" spans="1:3" x14ac:dyDescent="0.15">
      <c r="A369" s="1">
        <v>41121</v>
      </c>
      <c r="B369" t="s">
        <v>73</v>
      </c>
      <c r="C369" s="2" t="str">
        <f>HYPERLINK("http://snap.windin.com/ns/bulletin.php?id=2037029&amp;type=1", "新华龙:首次公开发行股票招股意向书")</f>
        <v>新华龙:首次公开发行股票招股意向书</v>
      </c>
    </row>
    <row r="370" spans="1:3" x14ac:dyDescent="0.15">
      <c r="A370" s="1">
        <v>41121</v>
      </c>
      <c r="B370" t="s">
        <v>87</v>
      </c>
      <c r="C370" s="2" t="str">
        <f>HYPERLINK("http://snap.windin.com/ns/bulletin.php?id=2035864&amp;type=1", "太空板业:首次公开发行股票并在创业板上市公告书")</f>
        <v>太空板业:首次公开发行股票并在创业板上市公告书</v>
      </c>
    </row>
    <row r="371" spans="1:3" x14ac:dyDescent="0.15">
      <c r="A371" s="1">
        <v>41121</v>
      </c>
      <c r="B371" t="s">
        <v>75</v>
      </c>
      <c r="C371" s="2" t="str">
        <f>HYPERLINK("http://snap.windin.com/ns/bulletin.php?id=1950941&amp;type=1", "金卡股份:首次公开发行股票并在创业板上市招股意向书")</f>
        <v>金卡股份:首次公开发行股票并在创业板上市招股意向书</v>
      </c>
    </row>
    <row r="372" spans="1:3" x14ac:dyDescent="0.15">
      <c r="A372" s="1">
        <v>41121</v>
      </c>
      <c r="B372" t="s">
        <v>74</v>
      </c>
      <c r="C372" s="2" t="str">
        <f>HYPERLINK("http://snap.windin.com/ns/bulletin.php?id=1810078&amp;type=1", "华鹏飞:首次公开发行股票并在创业板上市招股意向书")</f>
        <v>华鹏飞:首次公开发行股票并在创业板上市招股意向书</v>
      </c>
    </row>
    <row r="373" spans="1:3" x14ac:dyDescent="0.15">
      <c r="A373" s="1">
        <v>41121</v>
      </c>
      <c r="B373" t="s">
        <v>86</v>
      </c>
      <c r="C373" s="2" t="str">
        <f>HYPERLINK("http://snap.windin.com/ns/bulletin.php?id=1782998&amp;type=1", "联创节能:首次公开发行股票并在创业板上市公告书")</f>
        <v>联创节能:首次公开发行股票并在创业板上市公告书</v>
      </c>
    </row>
    <row r="374" spans="1:3" x14ac:dyDescent="0.15">
      <c r="A374" s="1">
        <v>41121</v>
      </c>
      <c r="B374" t="s">
        <v>73</v>
      </c>
      <c r="C374" s="2" t="str">
        <f>HYPERLINK("http://snap.windin.com/ns/bulletin.php?id=1747575&amp;type=1", "新华龙:首次公开发行股票招股意向书摘要")</f>
        <v>新华龙:首次公开发行股票招股意向书摘要</v>
      </c>
    </row>
    <row r="375" spans="1:3" x14ac:dyDescent="0.15">
      <c r="A375" s="1">
        <v>41121</v>
      </c>
      <c r="B375" t="s">
        <v>85</v>
      </c>
      <c r="C375" s="2" t="str">
        <f>HYPERLINK("http://snap.windin.com/ns/bulletin.php?id=1718035&amp;type=1", "红宇新材:首次公开发行股票并在创业板上市公告书提示性公告")</f>
        <v>红宇新材:首次公开发行股票并在创业板上市公告书提示性公告</v>
      </c>
    </row>
    <row r="376" spans="1:3" x14ac:dyDescent="0.15">
      <c r="A376" s="1">
        <v>41121</v>
      </c>
      <c r="B376" t="s">
        <v>76</v>
      </c>
      <c r="C376" s="2" t="str">
        <f>HYPERLINK("http://snap.windin.com/ns/bulletin.php?id=1468288&amp;type=1", "长亮科技:首次公开发行股票并在创业板上市招股意向书")</f>
        <v>长亮科技:首次公开发行股票并在创业板上市招股意向书</v>
      </c>
    </row>
    <row r="377" spans="1:3" x14ac:dyDescent="0.15">
      <c r="A377" s="1">
        <v>41121</v>
      </c>
      <c r="B377" t="s">
        <v>87</v>
      </c>
      <c r="C377" s="2" t="str">
        <f>HYPERLINK("http://snap.windin.com/ns/bulletin.php?id=1054410&amp;type=1", "太空板业:首次公开发行股票并在创业板上市上市公告书提示性公告")</f>
        <v>太空板业:首次公开发行股票并在创业板上市上市公告书提示性公告</v>
      </c>
    </row>
    <row r="378" spans="1:3" x14ac:dyDescent="0.15">
      <c r="A378" s="1">
        <v>41121</v>
      </c>
      <c r="B378" t="s">
        <v>73</v>
      </c>
      <c r="C378" s="2" t="str">
        <f>HYPERLINK("http://snap.windin.com/ns/bulletin.php?id=1034053&amp;type=1", "新华龙:首次公开发行股票招股意向书附录一")</f>
        <v>新华龙:首次公开发行股票招股意向书附录一</v>
      </c>
    </row>
    <row r="379" spans="1:3" x14ac:dyDescent="0.15">
      <c r="A379" s="1">
        <v>41121</v>
      </c>
      <c r="B379" t="s">
        <v>73</v>
      </c>
      <c r="C379" s="2" t="str">
        <f>HYPERLINK("http://snap.windin.com/ns/bulletin.php?id=530296&amp;type=1", "新华龙:首次公开发行股票招股意向书附录三")</f>
        <v>新华龙:首次公开发行股票招股意向书附录三</v>
      </c>
    </row>
    <row r="380" spans="1:3" x14ac:dyDescent="0.15">
      <c r="A380" s="1">
        <v>41121</v>
      </c>
      <c r="B380" t="s">
        <v>73</v>
      </c>
      <c r="C380" s="2" t="str">
        <f>HYPERLINK("http://snap.windin.com/ns/bulletin.php?id=466283&amp;type=1", "新华龙:首次公开发行股票招股意向书附录二")</f>
        <v>新华龙:首次公开发行股票招股意向书附录二</v>
      </c>
    </row>
    <row r="381" spans="1:3" x14ac:dyDescent="0.15">
      <c r="A381" s="1">
        <v>41121</v>
      </c>
      <c r="B381" t="s">
        <v>73</v>
      </c>
      <c r="C381" s="2" t="str">
        <f>HYPERLINK("http://snap.windin.com/ns/bulletin.php?id=202093&amp;type=1", "新华龙:首次公开发行股票招股意向书附录四")</f>
        <v>新华龙:首次公开发行股票招股意向书附录四</v>
      </c>
    </row>
    <row r="382" spans="1:3" x14ac:dyDescent="0.15">
      <c r="A382" s="1">
        <v>41120</v>
      </c>
      <c r="B382" t="s">
        <v>88</v>
      </c>
      <c r="C382" s="2" t="str">
        <f>HYPERLINK("http://snap.windin.com/ns/bulletin.php?id=2112001&amp;type=1", "和邦股份:首次公开发行A股股票上市公告书")</f>
        <v>和邦股份:首次公开发行A股股票上市公告书</v>
      </c>
    </row>
    <row r="383" spans="1:3" x14ac:dyDescent="0.15">
      <c r="A383" s="1">
        <v>41120</v>
      </c>
      <c r="B383" t="s">
        <v>82</v>
      </c>
      <c r="C383" s="2" t="str">
        <f>HYPERLINK("http://snap.windin.com/ns/bulletin.php?id=1761301&amp;type=1", "双成药业:首次公开发行股票招股说明书摘要")</f>
        <v>双成药业:首次公开发行股票招股说明书摘要</v>
      </c>
    </row>
    <row r="384" spans="1:3" x14ac:dyDescent="0.15">
      <c r="A384" s="1">
        <v>41120</v>
      </c>
      <c r="B384" t="s">
        <v>78</v>
      </c>
      <c r="C384" s="2" t="str">
        <f>HYPERLINK("http://snap.windin.com/ns/bulletin.php?id=1403865&amp;type=1", "泰格医药:首次公开发行股票并在创业板上市招股意向书")</f>
        <v>泰格医药:首次公开发行股票并在创业板上市招股意向书</v>
      </c>
    </row>
    <row r="385" spans="1:3" x14ac:dyDescent="0.15">
      <c r="A385" s="1">
        <v>41120</v>
      </c>
      <c r="B385" t="s">
        <v>89</v>
      </c>
      <c r="C385" s="2" t="str">
        <f>HYPERLINK("http://snap.windin.com/ns/bulletin.php?id=1174024&amp;type=1", "石煤装备:首次公开发行股票上市公告书")</f>
        <v>石煤装备:首次公开发行股票上市公告书</v>
      </c>
    </row>
    <row r="386" spans="1:3" x14ac:dyDescent="0.15">
      <c r="A386" s="1">
        <v>41120</v>
      </c>
      <c r="B386" t="s">
        <v>82</v>
      </c>
      <c r="C386" s="2" t="str">
        <f>HYPERLINK("http://snap.windin.com/ns/bulletin.php?id=1014144&amp;type=1", "双成药业:首次公开发行股票招股说明书")</f>
        <v>双成药业:首次公开发行股票招股说明书</v>
      </c>
    </row>
    <row r="387" spans="1:3" x14ac:dyDescent="0.15">
      <c r="A387" s="1">
        <v>41120</v>
      </c>
      <c r="B387" t="s">
        <v>90</v>
      </c>
      <c r="C387" s="2" t="str">
        <f>HYPERLINK("http://snap.windin.com/ns/bulletin.php?id=766135&amp;type=1", "美亚光电:首次公开发行股票上市公告书")</f>
        <v>美亚光电:首次公开发行股票上市公告书</v>
      </c>
    </row>
    <row r="388" spans="1:3" x14ac:dyDescent="0.15">
      <c r="A388" s="1">
        <v>41120</v>
      </c>
      <c r="B388" t="s">
        <v>88</v>
      </c>
      <c r="C388" s="2" t="str">
        <f>HYPERLINK("http://snap.windin.com/ns/bulletin.php?id=129948&amp;type=1", "和邦股份:首次公开发行股票招股说明书")</f>
        <v>和邦股份:首次公开发行股票招股说明书</v>
      </c>
    </row>
    <row r="389" spans="1:3" x14ac:dyDescent="0.15">
      <c r="A389" s="1">
        <v>41117</v>
      </c>
      <c r="B389" t="s">
        <v>79</v>
      </c>
      <c r="C389" s="2" t="str">
        <f>HYPERLINK("http://snap.windin.com/ns/bulletin.php?id=1878981&amp;type=1", "顾地科技:首次公开发行股票招股意向书")</f>
        <v>顾地科技:首次公开发行股票招股意向书</v>
      </c>
    </row>
    <row r="390" spans="1:3" x14ac:dyDescent="0.15">
      <c r="A390" s="1">
        <v>41117</v>
      </c>
      <c r="B390" t="s">
        <v>83</v>
      </c>
      <c r="C390" s="2" t="str">
        <f>HYPERLINK("http://snap.windin.com/ns/bulletin.php?id=1534396&amp;type=1", "远程电缆:首次公开发行股票招股说明书摘要")</f>
        <v>远程电缆:首次公开发行股票招股说明书摘要</v>
      </c>
    </row>
    <row r="391" spans="1:3" x14ac:dyDescent="0.15">
      <c r="A391" s="1">
        <v>41117</v>
      </c>
      <c r="B391" t="s">
        <v>83</v>
      </c>
      <c r="C391" s="2" t="str">
        <f>HYPERLINK("http://snap.windin.com/ns/bulletin.php?id=1436578&amp;type=1", "远程电缆:首次公开发行股票招股说明书")</f>
        <v>远程电缆:首次公开发行股票招股说明书</v>
      </c>
    </row>
    <row r="392" spans="1:3" x14ac:dyDescent="0.15">
      <c r="A392" s="1">
        <v>41117</v>
      </c>
      <c r="B392" t="s">
        <v>84</v>
      </c>
      <c r="C392" s="2" t="str">
        <f>HYPERLINK("http://snap.windin.com/ns/bulletin.php?id=1109385&amp;type=1", "南大光电:首次公开发行股票并在创业板上市招股说明书")</f>
        <v>南大光电:首次公开发行股票并在创业板上市招股说明书</v>
      </c>
    </row>
    <row r="393" spans="1:3" x14ac:dyDescent="0.15">
      <c r="A393" s="1">
        <v>41117</v>
      </c>
      <c r="B393" t="s">
        <v>77</v>
      </c>
      <c r="C393" s="2" t="str">
        <f>HYPERLINK("http://snap.windin.com/ns/bulletin.php?id=1088974&amp;type=1", "龙宇燃油:首次公开发行股票招股意向书附录")</f>
        <v>龙宇燃油:首次公开发行股票招股意向书附录</v>
      </c>
    </row>
    <row r="394" spans="1:3" x14ac:dyDescent="0.15">
      <c r="A394" s="1">
        <v>41117</v>
      </c>
      <c r="B394" t="s">
        <v>79</v>
      </c>
      <c r="C394" s="2" t="str">
        <f>HYPERLINK("http://snap.windin.com/ns/bulletin.php?id=791853&amp;type=1", "顾地科技:首次公开发行股票招股意向书摘要")</f>
        <v>顾地科技:首次公开发行股票招股意向书摘要</v>
      </c>
    </row>
    <row r="395" spans="1:3" x14ac:dyDescent="0.15">
      <c r="A395" s="1">
        <v>41117</v>
      </c>
      <c r="B395" t="s">
        <v>77</v>
      </c>
      <c r="C395" s="2" t="str">
        <f>HYPERLINK("http://snap.windin.com/ns/bulletin.php?id=484982&amp;type=1", "龙宇燃油:首次公开发行股票招股意向书摘要")</f>
        <v>龙宇燃油:首次公开发行股票招股意向书摘要</v>
      </c>
    </row>
    <row r="396" spans="1:3" x14ac:dyDescent="0.15">
      <c r="A396" s="1">
        <v>41117</v>
      </c>
      <c r="B396" t="s">
        <v>77</v>
      </c>
      <c r="C396" s="2" t="str">
        <f>HYPERLINK("http://snap.windin.com/ns/bulletin.php?id=447770&amp;type=1", "龙宇燃油:首次公开发行股票招股意向书")</f>
        <v>龙宇燃油:首次公开发行股票招股意向书</v>
      </c>
    </row>
    <row r="397" spans="1:3" x14ac:dyDescent="0.15">
      <c r="A397" s="1">
        <v>41115</v>
      </c>
      <c r="B397" t="s">
        <v>91</v>
      </c>
      <c r="C397" s="2" t="str">
        <f>HYPERLINK("http://snap.windin.com/ns/bulletin.php?id=1710036&amp;type=1", "科恒股份:首次公开发行股票并在创业板上市上市公告书提示性公告")</f>
        <v>科恒股份:首次公开发行股票并在创业板上市上市公告书提示性公告</v>
      </c>
    </row>
    <row r="398" spans="1:3" x14ac:dyDescent="0.15">
      <c r="A398" s="1">
        <v>41115</v>
      </c>
      <c r="B398" t="s">
        <v>92</v>
      </c>
      <c r="C398" s="2" t="str">
        <f>HYPERLINK("http://snap.windin.com/ns/bulletin.php?id=1694841&amp;type=1", "开元仪器:首次公开发行股票并在创业板上市公告书提示性公告")</f>
        <v>开元仪器:首次公开发行股票并在创业板上市公告书提示性公告</v>
      </c>
    </row>
    <row r="399" spans="1:3" x14ac:dyDescent="0.15">
      <c r="A399" s="1">
        <v>41115</v>
      </c>
      <c r="B399" t="s">
        <v>93</v>
      </c>
      <c r="C399" s="2" t="str">
        <f>HYPERLINK("http://snap.windin.com/ns/bulletin.php?id=1509586&amp;type=1", "麦迪电气:首次公开发行股票并在创业板上市上市公告书提示性公告")</f>
        <v>麦迪电气:首次公开发行股票并在创业板上市上市公告书提示性公告</v>
      </c>
    </row>
    <row r="400" spans="1:3" x14ac:dyDescent="0.15">
      <c r="A400" s="1">
        <v>41115</v>
      </c>
      <c r="B400" t="s">
        <v>94</v>
      </c>
      <c r="C400" s="2" t="str">
        <f>HYPERLINK("http://snap.windin.com/ns/bulletin.php?id=639651&amp;type=1", "天银机电:首次公开发行股票并在创业板上市公告书提示性公告")</f>
        <v>天银机电:首次公开发行股票并在创业板上市公告书提示性公告</v>
      </c>
    </row>
    <row r="401" spans="1:3" x14ac:dyDescent="0.15">
      <c r="A401" s="1">
        <v>41115</v>
      </c>
      <c r="B401" t="s">
        <v>94</v>
      </c>
      <c r="C401" s="2" t="str">
        <f>HYPERLINK("http://snap.windin.com/ns/bulletin.php?id=596867&amp;type=1", "天银机电:首次公开发行股票并在创业板上市公告书")</f>
        <v>天银机电:首次公开发行股票并在创业板上市公告书</v>
      </c>
    </row>
    <row r="402" spans="1:3" x14ac:dyDescent="0.15">
      <c r="A402" s="1">
        <v>41115</v>
      </c>
      <c r="B402" t="s">
        <v>93</v>
      </c>
      <c r="C402" s="2" t="str">
        <f>HYPERLINK("http://snap.windin.com/ns/bulletin.php?id=193575&amp;type=1", "麦迪电气:首次公开发行股票并在创业板上市上市公告书")</f>
        <v>麦迪电气:首次公开发行股票并在创业板上市上市公告书</v>
      </c>
    </row>
    <row r="403" spans="1:3" x14ac:dyDescent="0.15">
      <c r="A403" s="1">
        <v>41115</v>
      </c>
      <c r="B403" t="s">
        <v>92</v>
      </c>
      <c r="C403" s="2" t="str">
        <f>HYPERLINK("http://snap.windin.com/ns/bulletin.php?id=115466&amp;type=1", "开元仪器:首次公开发行股票并在创业板上市公告书")</f>
        <v>开元仪器:首次公开发行股票并在创业板上市公告书</v>
      </c>
    </row>
    <row r="404" spans="1:3" x14ac:dyDescent="0.15">
      <c r="A404" s="1">
        <v>41115</v>
      </c>
      <c r="B404" t="s">
        <v>91</v>
      </c>
      <c r="C404" s="2" t="str">
        <f>HYPERLINK("http://snap.windin.com/ns/bulletin.php?id=102777&amp;type=1", "科恒股份:首次公开发行股票并在创业板上市上市公告书")</f>
        <v>科恒股份:首次公开发行股票并在创业板上市上市公告书</v>
      </c>
    </row>
    <row r="405" spans="1:3" x14ac:dyDescent="0.15">
      <c r="A405" s="1">
        <v>41114</v>
      </c>
      <c r="B405" t="s">
        <v>82</v>
      </c>
      <c r="C405" s="2" t="str">
        <f>HYPERLINK("http://snap.windin.com/ns/bulletin.php?id=2035015&amp;type=1", "双成药业:首次公开发行股票招股意向书摘要")</f>
        <v>双成药业:首次公开发行股票招股意向书摘要</v>
      </c>
    </row>
    <row r="406" spans="1:3" x14ac:dyDescent="0.15">
      <c r="A406" s="1">
        <v>41114</v>
      </c>
      <c r="B406" t="s">
        <v>93</v>
      </c>
      <c r="C406" s="2" t="str">
        <f>HYPERLINK("http://snap.windin.com/ns/bulletin.php?id=1699680&amp;type=1", "麦迪电气:关于麦克奥迪（厦门）电气股份有限公司股票在创业板上市交易的公告")</f>
        <v>麦迪电气:关于麦克奥迪（厦门）电气股份有限公司股票在创业板上市交易的公告</v>
      </c>
    </row>
    <row r="407" spans="1:3" x14ac:dyDescent="0.15">
      <c r="A407" s="1">
        <v>41114</v>
      </c>
      <c r="B407" t="s">
        <v>82</v>
      </c>
      <c r="C407" s="2" t="str">
        <f>HYPERLINK("http://snap.windin.com/ns/bulletin.php?id=126109&amp;type=1", "双成药业:首次公开发行股票招股意向书")</f>
        <v>双成药业:首次公开发行股票招股意向书</v>
      </c>
    </row>
    <row r="408" spans="1:3" x14ac:dyDescent="0.15">
      <c r="A408" s="1">
        <v>41113</v>
      </c>
      <c r="B408" t="s">
        <v>80</v>
      </c>
      <c r="C408" s="2" t="str">
        <f>HYPERLINK("http://snap.windin.com/ns/bulletin.php?id=2068829&amp;type=1", "隆鑫通用:首次公开发行A股股票招股意向书摘要")</f>
        <v>隆鑫通用:首次公开发行A股股票招股意向书摘要</v>
      </c>
    </row>
    <row r="409" spans="1:3" x14ac:dyDescent="0.15">
      <c r="A409" s="1">
        <v>41113</v>
      </c>
      <c r="B409" t="s">
        <v>80</v>
      </c>
      <c r="C409" s="2" t="str">
        <f>HYPERLINK("http://snap.windin.com/ns/bulletin.php?id=1774526&amp;type=1", "隆鑫通用:首次公开发行股票招股意向书附录")</f>
        <v>隆鑫通用:首次公开发行股票招股意向书附录</v>
      </c>
    </row>
    <row r="410" spans="1:3" x14ac:dyDescent="0.15">
      <c r="A410" s="1">
        <v>41113</v>
      </c>
      <c r="B410" t="s">
        <v>80</v>
      </c>
      <c r="C410" s="2" t="str">
        <f>HYPERLINK("http://snap.windin.com/ns/bulletin.php?id=1512596&amp;type=1", "隆鑫通用:首次公开发行A股股票招股意向书")</f>
        <v>隆鑫通用:首次公开发行A股股票招股意向书</v>
      </c>
    </row>
    <row r="411" spans="1:3" x14ac:dyDescent="0.15">
      <c r="A411" s="1">
        <v>41113</v>
      </c>
      <c r="B411" t="s">
        <v>85</v>
      </c>
      <c r="C411" s="2" t="str">
        <f>HYPERLINK("http://snap.windin.com/ns/bulletin.php?id=210296&amp;type=1", "红宇新材:首次公开发行股票并在创业板上市招股说明书")</f>
        <v>红宇新材:首次公开发行股票并在创业板上市招股说明书</v>
      </c>
    </row>
    <row r="412" spans="1:3" x14ac:dyDescent="0.15">
      <c r="A412" s="1">
        <v>41110</v>
      </c>
      <c r="B412" t="s">
        <v>89</v>
      </c>
      <c r="C412" s="2" t="str">
        <f>HYPERLINK("http://snap.windin.com/ns/bulletin.php?id=2029251&amp;type=1", "石煤装备:首次公开发行股票招股说明书")</f>
        <v>石煤装备:首次公开发行股票招股说明书</v>
      </c>
    </row>
    <row r="413" spans="1:3" x14ac:dyDescent="0.15">
      <c r="A413" s="1">
        <v>41110</v>
      </c>
      <c r="B413" t="s">
        <v>83</v>
      </c>
      <c r="C413" s="2" t="str">
        <f>HYPERLINK("http://snap.windin.com/ns/bulletin.php?id=1071202&amp;type=1", "远程电缆:首次公开发行股票招股意向书")</f>
        <v>远程电缆:首次公开发行股票招股意向书</v>
      </c>
    </row>
    <row r="414" spans="1:3" x14ac:dyDescent="0.15">
      <c r="A414" s="1">
        <v>41110</v>
      </c>
      <c r="B414" t="s">
        <v>84</v>
      </c>
      <c r="C414" s="2" t="str">
        <f>HYPERLINK("http://snap.windin.com/ns/bulletin.php?id=932264&amp;type=1", "南大光电:首次公开发行股票并在创业板上市招股意向书")</f>
        <v>南大光电:首次公开发行股票并在创业板上市招股意向书</v>
      </c>
    </row>
    <row r="415" spans="1:3" x14ac:dyDescent="0.15">
      <c r="A415" s="1">
        <v>41110</v>
      </c>
      <c r="B415" t="s">
        <v>89</v>
      </c>
      <c r="C415" s="2" t="str">
        <f>HYPERLINK("http://snap.windin.com/ns/bulletin.php?id=125055&amp;type=1", "石煤装备:首次公开发行股票招股说明书摘要")</f>
        <v>石煤装备:首次公开发行股票招股说明书摘要</v>
      </c>
    </row>
    <row r="416" spans="1:3" x14ac:dyDescent="0.15">
      <c r="A416" s="1">
        <v>41110</v>
      </c>
      <c r="B416" t="s">
        <v>83</v>
      </c>
      <c r="C416" s="2" t="str">
        <f>HYPERLINK("http://snap.windin.com/ns/bulletin.php?id=98007&amp;type=1", "远程电缆:首次公开发行股票招股意向书摘要")</f>
        <v>远程电缆:首次公开发行股票招股意向书摘要</v>
      </c>
    </row>
    <row r="417" spans="1:3" x14ac:dyDescent="0.15">
      <c r="A417" s="1">
        <v>41109</v>
      </c>
      <c r="B417" t="s">
        <v>90</v>
      </c>
      <c r="C417" s="2" t="str">
        <f>HYPERLINK("http://snap.windin.com/ns/bulletin.php?id=2007197&amp;type=1", "美亚光电:首次公开发行股票招股说明书")</f>
        <v>美亚光电:首次公开发行股票招股说明书</v>
      </c>
    </row>
    <row r="418" spans="1:3" x14ac:dyDescent="0.15">
      <c r="A418" s="1">
        <v>41109</v>
      </c>
      <c r="B418" t="s">
        <v>87</v>
      </c>
      <c r="C418" s="2" t="str">
        <f>HYPERLINK("http://snap.windin.com/ns/bulletin.php?id=1918090&amp;type=1", "太空板业:首次公开发行股票并在创业板上市招股说明书")</f>
        <v>太空板业:首次公开发行股票并在创业板上市招股说明书</v>
      </c>
    </row>
    <row r="419" spans="1:3" x14ac:dyDescent="0.15">
      <c r="A419" s="1">
        <v>41109</v>
      </c>
      <c r="B419" t="s">
        <v>86</v>
      </c>
      <c r="C419" s="2" t="str">
        <f>HYPERLINK("http://snap.windin.com/ns/bulletin.php?id=806729&amp;type=1", "联创节能:首次公开发行股票并在创业板上市招股说明书")</f>
        <v>联创节能:首次公开发行股票并在创业板上市招股说明书</v>
      </c>
    </row>
    <row r="420" spans="1:3" x14ac:dyDescent="0.15">
      <c r="A420" s="1">
        <v>41109</v>
      </c>
      <c r="B420" t="s">
        <v>90</v>
      </c>
      <c r="C420" s="2" t="str">
        <f>HYPERLINK("http://snap.windin.com/ns/bulletin.php?id=629370&amp;type=1", "美亚光电:首次公开发行股票招股说明书摘要")</f>
        <v>美亚光电:首次公开发行股票招股说明书摘要</v>
      </c>
    </row>
    <row r="421" spans="1:3" x14ac:dyDescent="0.15">
      <c r="A421" s="1">
        <v>41107</v>
      </c>
      <c r="B421" t="s">
        <v>95</v>
      </c>
      <c r="C421" s="2" t="str">
        <f>HYPERLINK("http://snap.windin.com/ns/bulletin.php?id=2048790&amp;type=1", "银邦股份:首次公开发行股票并在创业板上市上市公告书")</f>
        <v>银邦股份:首次公开发行股票并在创业板上市上市公告书</v>
      </c>
    </row>
    <row r="422" spans="1:3" x14ac:dyDescent="0.15">
      <c r="A422" s="1">
        <v>41107</v>
      </c>
      <c r="B422" t="s">
        <v>96</v>
      </c>
      <c r="C422" s="2" t="str">
        <f>HYPERLINK("http://snap.windin.com/ns/bulletin.php?id=1392701&amp;type=1", "润和软件:首次公开发行股票并在创业板上市公告书")</f>
        <v>润和软件:首次公开发行股票并在创业板上市公告书</v>
      </c>
    </row>
    <row r="423" spans="1:3" x14ac:dyDescent="0.15">
      <c r="A423" s="1">
        <v>41107</v>
      </c>
      <c r="B423" t="s">
        <v>95</v>
      </c>
      <c r="C423" s="2" t="str">
        <f>HYPERLINK("http://snap.windin.com/ns/bulletin.php?id=815024&amp;type=1", "银邦股份:首次公开发行股票并在创业板上市上市公告书提示性公告")</f>
        <v>银邦股份:首次公开发行股票并在创业板上市上市公告书提示性公告</v>
      </c>
    </row>
    <row r="424" spans="1:3" x14ac:dyDescent="0.15">
      <c r="A424" s="1">
        <v>41107</v>
      </c>
      <c r="B424" t="s">
        <v>96</v>
      </c>
      <c r="C424" s="2" t="str">
        <f>HYPERLINK("http://snap.windin.com/ns/bulletin.php?id=719269&amp;type=1", "润和软件:首次公开发行股票并在创业板上市公告书提示性公告")</f>
        <v>润和软件:首次公开发行股票并在创业板上市公告书提示性公告</v>
      </c>
    </row>
    <row r="425" spans="1:3" x14ac:dyDescent="0.15">
      <c r="A425" s="1">
        <v>41107</v>
      </c>
      <c r="B425" t="s">
        <v>92</v>
      </c>
      <c r="C425" s="2" t="str">
        <f>HYPERLINK("http://snap.windin.com/ns/bulletin.php?id=683482&amp;type=1", "开元仪器:首次公开发行股票并在创业板上市招股说明书")</f>
        <v>开元仪器:首次公开发行股票并在创业板上市招股说明书</v>
      </c>
    </row>
    <row r="426" spans="1:3" x14ac:dyDescent="0.15">
      <c r="A426" s="1">
        <v>41106</v>
      </c>
      <c r="B426" t="s">
        <v>81</v>
      </c>
      <c r="C426" s="2" t="str">
        <f>HYPERLINK("http://snap.windin.com/ns/bulletin.php?id=2068285&amp;type=1", "一拖股份:首次公开发行股票招股意向书附录")</f>
        <v>一拖股份:首次公开发行股票招股意向书附录</v>
      </c>
    </row>
    <row r="427" spans="1:3" x14ac:dyDescent="0.15">
      <c r="A427" s="1">
        <v>41106</v>
      </c>
      <c r="B427" t="s">
        <v>93</v>
      </c>
      <c r="C427" s="2" t="str">
        <f>HYPERLINK("http://snap.windin.com/ns/bulletin.php?id=1775029&amp;type=1", "麦迪电气:首次公开发行股票并在创业板上市招股说明书")</f>
        <v>麦迪电气:首次公开发行股票并在创业板上市招股说明书</v>
      </c>
    </row>
    <row r="428" spans="1:3" x14ac:dyDescent="0.15">
      <c r="A428" s="1">
        <v>41106</v>
      </c>
      <c r="B428" t="s">
        <v>81</v>
      </c>
      <c r="C428" s="2" t="str">
        <f>HYPERLINK("http://snap.windin.com/ns/bulletin.php?id=1700804&amp;type=1", "一拖股份:首次公开发行A股股票招股意向书")</f>
        <v>一拖股份:首次公开发行A股股票招股意向书</v>
      </c>
    </row>
    <row r="429" spans="1:3" x14ac:dyDescent="0.15">
      <c r="A429" s="1">
        <v>41106</v>
      </c>
      <c r="B429" t="s">
        <v>81</v>
      </c>
      <c r="C429" s="2" t="str">
        <f>HYPERLINK("http://snap.windin.com/ns/bulletin.php?id=1597210&amp;type=1", "一拖股份:首次公开发行A股股票招股意向书摘要")</f>
        <v>一拖股份:首次公开发行A股股票招股意向书摘要</v>
      </c>
    </row>
    <row r="430" spans="1:3" x14ac:dyDescent="0.15">
      <c r="A430" s="1">
        <v>41106</v>
      </c>
      <c r="B430" t="s">
        <v>94</v>
      </c>
      <c r="C430" s="2" t="str">
        <f>HYPERLINK("http://snap.windin.com/ns/bulletin.php?id=1479096&amp;type=1", "天银机电:首次公开发行股票并在创业板上市招股说明书")</f>
        <v>天银机电:首次公开发行股票并在创业板上市招股说明书</v>
      </c>
    </row>
    <row r="431" spans="1:3" x14ac:dyDescent="0.15">
      <c r="A431" s="1">
        <v>41106</v>
      </c>
      <c r="B431" t="s">
        <v>97</v>
      </c>
      <c r="C431" s="2" t="str">
        <f>HYPERLINK("http://snap.windin.com/ns/bulletin.php?id=1362305&amp;type=1", "喜临门:首次公开发行A股股票招股说明书")</f>
        <v>喜临门:首次公开发行A股股票招股说明书</v>
      </c>
    </row>
    <row r="432" spans="1:3" x14ac:dyDescent="0.15">
      <c r="A432" s="1">
        <v>41106</v>
      </c>
      <c r="B432" t="s">
        <v>97</v>
      </c>
      <c r="C432" s="2" t="str">
        <f>HYPERLINK("http://snap.windin.com/ns/bulletin.php?id=1092149&amp;type=1", "喜临门:首次公开发行A股股票上市公告书")</f>
        <v>喜临门:首次公开发行A股股票上市公告书</v>
      </c>
    </row>
    <row r="433" spans="1:3" x14ac:dyDescent="0.15">
      <c r="A433" s="1">
        <v>41106</v>
      </c>
      <c r="B433" t="s">
        <v>98</v>
      </c>
      <c r="C433" s="2" t="str">
        <f>HYPERLINK("http://snap.windin.com/ns/bulletin.php?id=160212&amp;type=1", "博林特:首次公开发行股票上市公告书")</f>
        <v>博林特:首次公开发行股票上市公告书</v>
      </c>
    </row>
    <row r="434" spans="1:3" x14ac:dyDescent="0.15">
      <c r="A434" s="1">
        <v>41103</v>
      </c>
      <c r="B434" t="s">
        <v>85</v>
      </c>
      <c r="C434" s="2" t="str">
        <f>HYPERLINK("http://snap.windin.com/ns/bulletin.php?id=1385788&amp;type=1", "红宇新材:首次公开发行股票并在创业板上市招股意向书")</f>
        <v>红宇新材:首次公开发行股票并在创业板上市招股意向书</v>
      </c>
    </row>
    <row r="435" spans="1:3" x14ac:dyDescent="0.15">
      <c r="A435" s="1">
        <v>41103</v>
      </c>
      <c r="B435" t="s">
        <v>89</v>
      </c>
      <c r="C435" s="2" t="str">
        <f>HYPERLINK("http://snap.windin.com/ns/bulletin.php?id=969542&amp;type=1", "石煤装备:首次公开发行股票招股意向书")</f>
        <v>石煤装备:首次公开发行股票招股意向书</v>
      </c>
    </row>
    <row r="436" spans="1:3" x14ac:dyDescent="0.15">
      <c r="A436" s="1">
        <v>41103</v>
      </c>
      <c r="B436" t="s">
        <v>89</v>
      </c>
      <c r="C436" s="2" t="str">
        <f>HYPERLINK("http://snap.windin.com/ns/bulletin.php?id=545741&amp;type=1", "石煤装备:首次公开发行股票招股意向书摘要")</f>
        <v>石煤装备:首次公开发行股票招股意向书摘要</v>
      </c>
    </row>
    <row r="437" spans="1:3" x14ac:dyDescent="0.15">
      <c r="A437" s="1">
        <v>41103</v>
      </c>
      <c r="B437" t="s">
        <v>91</v>
      </c>
      <c r="C437" s="2" t="str">
        <f>HYPERLINK("http://snap.windin.com/ns/bulletin.php?id=545718&amp;type=1", "科恒股份:首次公开发行股票并在创业板上市招股说明书")</f>
        <v>科恒股份:首次公开发行股票并在创业板上市招股说明书</v>
      </c>
    </row>
    <row r="438" spans="1:3" x14ac:dyDescent="0.15">
      <c r="A438" s="1">
        <v>41102</v>
      </c>
      <c r="B438" t="s">
        <v>99</v>
      </c>
      <c r="C438" s="2" t="str">
        <f>HYPERLINK("http://snap.windin.com/ns/bulletin.php?id=1898732&amp;type=1", "N金河:首次公开发行股票上市公告书")</f>
        <v>N金河:首次公开发行股票上市公告书</v>
      </c>
    </row>
    <row r="439" spans="1:3" x14ac:dyDescent="0.15">
      <c r="A439" s="1">
        <v>41102</v>
      </c>
      <c r="B439" t="s">
        <v>100</v>
      </c>
      <c r="C439" s="2" t="str">
        <f>HYPERLINK("http://snap.windin.com/ns/bulletin.php?id=1090880&amp;type=1", "N乔治白:首次公开发行股票上市公告书")</f>
        <v>N乔治白:首次公开发行股票上市公告书</v>
      </c>
    </row>
    <row r="440" spans="1:3" x14ac:dyDescent="0.15">
      <c r="A440" s="1">
        <v>41101</v>
      </c>
      <c r="B440" t="s">
        <v>86</v>
      </c>
      <c r="C440" s="2" t="str">
        <f>HYPERLINK("http://snap.windin.com/ns/bulletin.php?id=1721647&amp;type=1", "联创节能:首次公开发行股票并在创业板上市招股意向书")</f>
        <v>联创节能:首次公开发行股票并在创业板上市招股意向书</v>
      </c>
    </row>
    <row r="441" spans="1:3" x14ac:dyDescent="0.15">
      <c r="A441" s="1">
        <v>41101</v>
      </c>
      <c r="B441" t="s">
        <v>87</v>
      </c>
      <c r="C441" s="2" t="str">
        <f>HYPERLINK("http://snap.windin.com/ns/bulletin.php?id=233838&amp;type=1", "太空板业:首次公开发行股票并在创业板上市招股意向书")</f>
        <v>太空板业:首次公开发行股票并在创业板上市招股意向书</v>
      </c>
    </row>
    <row r="442" spans="1:3" x14ac:dyDescent="0.15">
      <c r="A442" s="1">
        <v>41099</v>
      </c>
      <c r="B442" t="s">
        <v>90</v>
      </c>
      <c r="C442" s="2" t="str">
        <f>HYPERLINK("http://snap.windin.com/ns/bulletin.php?id=2126162&amp;type=1", "美亚光电:首次公开发行股票招股意向书摘要")</f>
        <v>美亚光电:首次公开发行股票招股意向书摘要</v>
      </c>
    </row>
    <row r="443" spans="1:3" x14ac:dyDescent="0.15">
      <c r="A443" s="1">
        <v>41099</v>
      </c>
      <c r="B443" t="s">
        <v>95</v>
      </c>
      <c r="C443" s="2" t="str">
        <f>HYPERLINK("http://snap.windin.com/ns/bulletin.php?id=2054567&amp;type=1", "银邦股份:首次公开发行股票并在创业板上市招股说明书")</f>
        <v>银邦股份:首次公开发行股票并在创业板上市招股说明书</v>
      </c>
    </row>
    <row r="444" spans="1:3" x14ac:dyDescent="0.15">
      <c r="A444" s="1">
        <v>41099</v>
      </c>
      <c r="B444" t="s">
        <v>101</v>
      </c>
      <c r="C444" s="2" t="str">
        <f>HYPERLINK("http://snap.windin.com/ns/bulletin.php?id=1962245&amp;type=1", "新文化:首次公开发行股票并在创业板上市之上市公告书")</f>
        <v>新文化:首次公开发行股票并在创业板上市之上市公告书</v>
      </c>
    </row>
    <row r="445" spans="1:3" x14ac:dyDescent="0.15">
      <c r="A445" s="1">
        <v>41099</v>
      </c>
      <c r="B445" t="s">
        <v>88</v>
      </c>
      <c r="C445" s="2" t="str">
        <f>HYPERLINK("http://snap.windin.com/ns/bulletin.php?id=1884283&amp;type=1", "和邦股份:首次公开发行股票招股意向书")</f>
        <v>和邦股份:首次公开发行股票招股意向书</v>
      </c>
    </row>
    <row r="446" spans="1:3" x14ac:dyDescent="0.15">
      <c r="A446" s="1">
        <v>41099</v>
      </c>
      <c r="B446" t="s">
        <v>90</v>
      </c>
      <c r="C446" s="2" t="str">
        <f>HYPERLINK("http://snap.windin.com/ns/bulletin.php?id=1601556&amp;type=1", "美亚光电:首次公开发行股票招股意向书")</f>
        <v>美亚光电:首次公开发行股票招股意向书</v>
      </c>
    </row>
    <row r="447" spans="1:3" x14ac:dyDescent="0.15">
      <c r="A447" s="1">
        <v>41099</v>
      </c>
      <c r="B447" t="s">
        <v>102</v>
      </c>
      <c r="C447" s="2" t="str">
        <f>HYPERLINK("http://snap.windin.com/ns/bulletin.php?id=1089630&amp;type=1", "迪森股份:首次公开发行股票并在创业板上市公告书")</f>
        <v>迪森股份:首次公开发行股票并在创业板上市公告书</v>
      </c>
    </row>
    <row r="448" spans="1:3" x14ac:dyDescent="0.15">
      <c r="A448" s="1">
        <v>41099</v>
      </c>
      <c r="B448" t="s">
        <v>88</v>
      </c>
      <c r="C448" s="2" t="str">
        <f>HYPERLINK("http://snap.windin.com/ns/bulletin.php?id=1086417&amp;type=1", "和邦股份:首次公开发行股票招股意向书摘要")</f>
        <v>和邦股份:首次公开发行股票招股意向书摘要</v>
      </c>
    </row>
    <row r="449" spans="1:3" x14ac:dyDescent="0.15">
      <c r="A449" s="1">
        <v>41099</v>
      </c>
      <c r="B449" t="s">
        <v>96</v>
      </c>
      <c r="C449" s="2" t="str">
        <f>HYPERLINK("http://snap.windin.com/ns/bulletin.php?id=911509&amp;type=1", "润和软件:首次公开发行股票并在创业板上市招股说明书")</f>
        <v>润和软件:首次公开发行股票并在创业板上市招股说明书</v>
      </c>
    </row>
    <row r="450" spans="1:3" x14ac:dyDescent="0.15">
      <c r="A450" s="1">
        <v>41099</v>
      </c>
      <c r="B450" t="s">
        <v>102</v>
      </c>
      <c r="C450" s="2" t="str">
        <f>HYPERLINK("http://snap.windin.com/ns/bulletin.php?id=847920&amp;type=1", "迪森股份:首次公开发行股票并在创业板上市公告书提示性公告")</f>
        <v>迪森股份:首次公开发行股票并在创业板上市公告书提示性公告</v>
      </c>
    </row>
    <row r="451" spans="1:3" x14ac:dyDescent="0.15">
      <c r="A451" s="1">
        <v>41099</v>
      </c>
      <c r="B451" t="s">
        <v>88</v>
      </c>
      <c r="C451" s="2" t="str">
        <f>HYPERLINK("http://snap.windin.com/ns/bulletin.php?id=778640&amp;type=1", "和邦股份:首次公开发行股票招股意向书附录")</f>
        <v>和邦股份:首次公开发行股票招股意向书附录</v>
      </c>
    </row>
    <row r="452" spans="1:3" x14ac:dyDescent="0.15">
      <c r="A452" s="1">
        <v>41099</v>
      </c>
      <c r="B452" t="s">
        <v>101</v>
      </c>
      <c r="C452" s="2" t="str">
        <f>HYPERLINK("http://snap.windin.com/ns/bulletin.php?id=404483&amp;type=1", "新文化:首次公开发行股票并在创业板上市公告书提示性公告")</f>
        <v>新文化:首次公开发行股票并在创业板上市公告书提示性公告</v>
      </c>
    </row>
    <row r="453" spans="1:3" x14ac:dyDescent="0.15">
      <c r="A453" s="1">
        <v>41096</v>
      </c>
      <c r="B453" t="s">
        <v>91</v>
      </c>
      <c r="C453" s="2" t="str">
        <f>HYPERLINK("http://snap.windin.com/ns/bulletin.php?id=1842375&amp;type=1", "科恒股份:首次公开发行股票并在创业板上市招股意向书")</f>
        <v>科恒股份:首次公开发行股票并在创业板上市招股意向书</v>
      </c>
    </row>
    <row r="454" spans="1:3" x14ac:dyDescent="0.15">
      <c r="A454" s="1">
        <v>41096</v>
      </c>
      <c r="B454" t="s">
        <v>93</v>
      </c>
      <c r="C454" s="2" t="str">
        <f>HYPERLINK("http://snap.windin.com/ns/bulletin.php?id=1783801&amp;type=1", "麦迪电气:首次公开发行股票并在创业板上市招股意向书")</f>
        <v>麦迪电气:首次公开发行股票并在创业板上市招股意向书</v>
      </c>
    </row>
    <row r="455" spans="1:3" x14ac:dyDescent="0.15">
      <c r="A455" s="1">
        <v>41096</v>
      </c>
      <c r="B455" t="s">
        <v>98</v>
      </c>
      <c r="C455" s="2" t="str">
        <f>HYPERLINK("http://snap.windin.com/ns/bulletin.php?id=1617830&amp;type=1", "博林特:首次公开发行股票招股说明书")</f>
        <v>博林特:首次公开发行股票招股说明书</v>
      </c>
    </row>
    <row r="456" spans="1:3" x14ac:dyDescent="0.15">
      <c r="A456" s="1">
        <v>41096</v>
      </c>
      <c r="B456" t="s">
        <v>98</v>
      </c>
      <c r="C456" s="2" t="str">
        <f>HYPERLINK("http://snap.windin.com/ns/bulletin.php?id=165514&amp;type=1", "博林特:首次公开发行股票招股说明书摘要")</f>
        <v>博林特:首次公开发行股票招股说明书摘要</v>
      </c>
    </row>
    <row r="457" spans="1:3" x14ac:dyDescent="0.15">
      <c r="A457" s="1">
        <v>41096</v>
      </c>
      <c r="B457" t="s">
        <v>94</v>
      </c>
      <c r="C457" s="2" t="str">
        <f>HYPERLINK("http://snap.windin.com/ns/bulletin.php?id=73404&amp;type=1", "天银机电:首次公开发行股票并在创业板上市招股意向书")</f>
        <v>天银机电:首次公开发行股票并在创业板上市招股意向书</v>
      </c>
    </row>
    <row r="458" spans="1:3" x14ac:dyDescent="0.15">
      <c r="A458" s="1">
        <v>41095</v>
      </c>
      <c r="B458" t="s">
        <v>103</v>
      </c>
      <c r="C458" s="2" t="str">
        <f>HYPERLINK("http://snap.windin.com/ns/bulletin.php?id=1888385&amp;type=1", "中信重工:首次公开发行股票招股说明书")</f>
        <v>中信重工:首次公开发行股票招股说明书</v>
      </c>
    </row>
    <row r="459" spans="1:3" x14ac:dyDescent="0.15">
      <c r="A459" s="1">
        <v>41095</v>
      </c>
      <c r="B459" t="s">
        <v>103</v>
      </c>
      <c r="C459" s="2" t="str">
        <f>HYPERLINK("http://snap.windin.com/ns/bulletin.php?id=1364694&amp;type=1", "中信重工:首次公开发行A股股票上市公告书")</f>
        <v>中信重工:首次公开发行A股股票上市公告书</v>
      </c>
    </row>
    <row r="460" spans="1:3" x14ac:dyDescent="0.15">
      <c r="A460" s="1">
        <v>41094</v>
      </c>
      <c r="B460" t="s">
        <v>99</v>
      </c>
      <c r="C460" s="2" t="str">
        <f>HYPERLINK("http://snap.windin.com/ns/bulletin.php?id=1154531&amp;type=1", "金河生物:首次公开发行股票招股说明书摘要")</f>
        <v>金河生物:首次公开发行股票招股说明书摘要</v>
      </c>
    </row>
    <row r="461" spans="1:3" x14ac:dyDescent="0.15">
      <c r="A461" s="1">
        <v>41094</v>
      </c>
      <c r="B461" t="s">
        <v>104</v>
      </c>
      <c r="C461" s="2" t="str">
        <f>HYPERLINK("http://snap.windin.com/ns/bulletin.php?id=794376&amp;type=1", "津膜科技:首次公开发行股票并在创业板上市公告书")</f>
        <v>津膜科技:首次公开发行股票并在创业板上市公告书</v>
      </c>
    </row>
    <row r="462" spans="1:3" x14ac:dyDescent="0.15">
      <c r="A462" s="1">
        <v>41094</v>
      </c>
      <c r="B462" t="s">
        <v>104</v>
      </c>
      <c r="C462" s="2" t="str">
        <f>HYPERLINK("http://snap.windin.com/ns/bulletin.php?id=727406&amp;type=1", "津膜科技:首次公开发行股票并在创业板上市公告书提示性公告")</f>
        <v>津膜科技:首次公开发行股票并在创业板上市公告书提示性公告</v>
      </c>
    </row>
    <row r="463" spans="1:3" x14ac:dyDescent="0.15">
      <c r="A463" s="1">
        <v>41094</v>
      </c>
      <c r="B463" t="s">
        <v>99</v>
      </c>
      <c r="C463" s="2" t="str">
        <f>HYPERLINK("http://snap.windin.com/ns/bulletin.php?id=565972&amp;type=1", "金河生物:首次公开发行股票招股说明书")</f>
        <v>金河生物:首次公开发行股票招股说明书</v>
      </c>
    </row>
    <row r="464" spans="1:3" x14ac:dyDescent="0.15">
      <c r="A464" s="1">
        <v>41093</v>
      </c>
      <c r="B464" t="s">
        <v>100</v>
      </c>
      <c r="C464" s="2" t="str">
        <f>HYPERLINK("http://snap.windin.com/ns/bulletin.php?id=497952&amp;type=1", "乔治白:首次公开发行股票招股说明书摘要")</f>
        <v>乔治白:首次公开发行股票招股说明书摘要</v>
      </c>
    </row>
    <row r="465" spans="1:3" x14ac:dyDescent="0.15">
      <c r="A465" s="1">
        <v>41093</v>
      </c>
      <c r="B465" t="s">
        <v>100</v>
      </c>
      <c r="C465" s="2" t="str">
        <f>HYPERLINK("http://snap.windin.com/ns/bulletin.php?id=88990&amp;type=1", "乔治白:首次公开发行股票招股说明书")</f>
        <v>乔治白:首次公开发行股票招股说明书</v>
      </c>
    </row>
    <row r="466" spans="1:3" x14ac:dyDescent="0.15">
      <c r="A466" s="1">
        <v>41092</v>
      </c>
      <c r="B466" t="s">
        <v>105</v>
      </c>
      <c r="C466" s="2" t="str">
        <f>HYPERLINK("http://snap.windin.com/ns/bulletin.php?id=1934186&amp;type=1", "亿利达:首次公开发行股票上市公告书")</f>
        <v>亿利达:首次公开发行股票上市公告书</v>
      </c>
    </row>
    <row r="467" spans="1:3" x14ac:dyDescent="0.15">
      <c r="A467" s="1">
        <v>41092</v>
      </c>
      <c r="B467" t="s">
        <v>105</v>
      </c>
      <c r="C467" s="2" t="str">
        <f>HYPERLINK("http://snap.windin.com/ns/bulletin.php?id=1835209&amp;type=1", "N亿利达:首次公开发行股票上市公告书的更正公告")</f>
        <v>N亿利达:首次公开发行股票上市公告书的更正公告</v>
      </c>
    </row>
    <row r="468" spans="1:3" x14ac:dyDescent="0.15">
      <c r="A468" s="1">
        <v>41092</v>
      </c>
      <c r="B468" t="s">
        <v>105</v>
      </c>
      <c r="C468" s="2" t="str">
        <f>HYPERLINK("http://snap.windin.com/ns/bulletin.php?id=543580&amp;type=1", "N亿利达:首次公开发行股票上市公告书（更新后）")</f>
        <v>N亿利达:首次公开发行股票上市公告书（更新后）</v>
      </c>
    </row>
    <row r="469" spans="1:3" x14ac:dyDescent="0.15">
      <c r="A469" s="1">
        <v>41089</v>
      </c>
      <c r="B469" t="s">
        <v>98</v>
      </c>
      <c r="C469" s="2" t="str">
        <f>HYPERLINK("http://snap.windin.com/ns/bulletin.php?id=1642890&amp;type=1", "博林特:首次公开发行股票招股意向书")</f>
        <v>博林特:首次公开发行股票招股意向书</v>
      </c>
    </row>
    <row r="470" spans="1:3" x14ac:dyDescent="0.15">
      <c r="A470" s="1">
        <v>41089</v>
      </c>
      <c r="B470" t="s">
        <v>96</v>
      </c>
      <c r="C470" s="2" t="str">
        <f>HYPERLINK("http://snap.windin.com/ns/bulletin.php?id=1484172&amp;type=1", "润和软件:首次公开发行股票并在创业板上市招股意向书")</f>
        <v>润和软件:首次公开发行股票并在创业板上市招股意向书</v>
      </c>
    </row>
    <row r="471" spans="1:3" x14ac:dyDescent="0.15">
      <c r="A471" s="1">
        <v>41089</v>
      </c>
      <c r="B471" t="s">
        <v>98</v>
      </c>
      <c r="C471" s="2" t="str">
        <f>HYPERLINK("http://snap.windin.com/ns/bulletin.php?id=1464428&amp;type=1", "博林特:首次公开发行股票招股意向书摘要")</f>
        <v>博林特:首次公开发行股票招股意向书摘要</v>
      </c>
    </row>
    <row r="472" spans="1:3" x14ac:dyDescent="0.15">
      <c r="A472" s="1">
        <v>41089</v>
      </c>
      <c r="B472" t="s">
        <v>92</v>
      </c>
      <c r="C472" s="2" t="str">
        <f>HYPERLINK("http://snap.windin.com/ns/bulletin.php?id=1277142&amp;type=1", "开元仪器:首次公开发行股票并在创业板上市招股意向书")</f>
        <v>开元仪器:首次公开发行股票并在创业板上市招股意向书</v>
      </c>
    </row>
    <row r="473" spans="1:3" x14ac:dyDescent="0.15">
      <c r="A473" s="1">
        <v>41089</v>
      </c>
      <c r="B473" t="s">
        <v>95</v>
      </c>
      <c r="C473" s="2" t="str">
        <f>HYPERLINK("http://snap.windin.com/ns/bulletin.php?id=520708&amp;type=1", "银邦股份:首次公开发行股票并在创业板上市招股意向书")</f>
        <v>银邦股份:首次公开发行股票并在创业板上市招股意向书</v>
      </c>
    </row>
    <row r="474" spans="1:3" x14ac:dyDescent="0.15">
      <c r="A474" s="1">
        <v>41088</v>
      </c>
      <c r="B474" t="s">
        <v>102</v>
      </c>
      <c r="C474" s="2" t="str">
        <f>HYPERLINK("http://snap.windin.com/ns/bulletin.php?id=1593250&amp;type=1", "迪森股份:首次公开发行股票并在创业板上市招股说明书")</f>
        <v>迪森股份:首次公开发行股票并在创业板上市招股说明书</v>
      </c>
    </row>
    <row r="475" spans="1:3" x14ac:dyDescent="0.15">
      <c r="A475" s="1">
        <v>41087</v>
      </c>
      <c r="B475" t="s">
        <v>106</v>
      </c>
      <c r="C475" s="2" t="str">
        <f>HYPERLINK("http://snap.windin.com/ns/bulletin.php?id=2051293&amp;type=1", "兆日科技:首次公开发行股票并在创业板上市公告书提示性公告")</f>
        <v>兆日科技:首次公开发行股票并在创业板上市公告书提示性公告</v>
      </c>
    </row>
    <row r="476" spans="1:3" x14ac:dyDescent="0.15">
      <c r="A476" s="1">
        <v>41087</v>
      </c>
      <c r="B476" t="s">
        <v>101</v>
      </c>
      <c r="C476" s="2" t="str">
        <f>HYPERLINK("http://snap.windin.com/ns/bulletin.php?id=1988691&amp;type=1", "新文化:首次公开发行股票并在创业板上市招股说明书")</f>
        <v>新文化:首次公开发行股票并在创业板上市招股说明书</v>
      </c>
    </row>
    <row r="477" spans="1:3" x14ac:dyDescent="0.15">
      <c r="A477" s="1">
        <v>41087</v>
      </c>
      <c r="B477" t="s">
        <v>97</v>
      </c>
      <c r="C477" s="2" t="str">
        <f>HYPERLINK("http://snap.windin.com/ns/bulletin.php?id=1886790&amp;type=1", "喜临门:首次公开发行A股股票招股意向书")</f>
        <v>喜临门:首次公开发行A股股票招股意向书</v>
      </c>
    </row>
    <row r="478" spans="1:3" x14ac:dyDescent="0.15">
      <c r="A478" s="1">
        <v>41087</v>
      </c>
      <c r="B478" t="s">
        <v>107</v>
      </c>
      <c r="C478" s="2" t="str">
        <f>HYPERLINK("http://snap.windin.com/ns/bulletin.php?id=1851963&amp;type=1", "天壕节能:首次公开发行股票并在创业板上市公告书")</f>
        <v>天壕节能:首次公开发行股票并在创业板上市公告书</v>
      </c>
    </row>
    <row r="479" spans="1:3" x14ac:dyDescent="0.15">
      <c r="A479" s="1">
        <v>41087</v>
      </c>
      <c r="B479" t="s">
        <v>107</v>
      </c>
      <c r="C479" s="2" t="str">
        <f>HYPERLINK("http://snap.windin.com/ns/bulletin.php?id=1767240&amp;type=1", "天壕节能:首次公开发行股票并在创业板上市公告书的补充公告")</f>
        <v>天壕节能:首次公开发行股票并在创业板上市公告书的补充公告</v>
      </c>
    </row>
    <row r="480" spans="1:3" x14ac:dyDescent="0.15">
      <c r="A480" s="1">
        <v>41087</v>
      </c>
      <c r="B480" t="s">
        <v>107</v>
      </c>
      <c r="C480" s="2" t="str">
        <f>HYPERLINK("http://snap.windin.com/ns/bulletin.php?id=1663087&amp;type=1", "天壕节能:首次公开发行股票并在创业板上市上市公告书提示性公告")</f>
        <v>天壕节能:首次公开发行股票并在创业板上市上市公告书提示性公告</v>
      </c>
    </row>
    <row r="481" spans="1:3" x14ac:dyDescent="0.15">
      <c r="A481" s="1">
        <v>41087</v>
      </c>
      <c r="B481" t="s">
        <v>97</v>
      </c>
      <c r="C481" s="2" t="str">
        <f>HYPERLINK("http://snap.windin.com/ns/bulletin.php?id=1644483&amp;type=1", "喜临门:首次公开发行A股股票招股意向书摘要")</f>
        <v>喜临门:首次公开发行A股股票招股意向书摘要</v>
      </c>
    </row>
    <row r="482" spans="1:3" x14ac:dyDescent="0.15">
      <c r="A482" s="1">
        <v>41087</v>
      </c>
      <c r="B482" t="s">
        <v>108</v>
      </c>
      <c r="C482" s="2" t="str">
        <f>HYPERLINK("http://snap.windin.com/ns/bulletin.php?id=1480083&amp;type=1", "苏大维格:首次公开发行股票并在创业板上市公告书提示性公告")</f>
        <v>苏大维格:首次公开发行股票并在创业板上市公告书提示性公告</v>
      </c>
    </row>
    <row r="483" spans="1:3" x14ac:dyDescent="0.15">
      <c r="A483" s="1">
        <v>41087</v>
      </c>
      <c r="B483" t="s">
        <v>108</v>
      </c>
      <c r="C483" s="2" t="str">
        <f>HYPERLINK("http://snap.windin.com/ns/bulletin.php?id=1356021&amp;type=1", "苏大维格:首次公开发行股票并在创业板上市公告书")</f>
        <v>苏大维格:首次公开发行股票并在创业板上市公告书</v>
      </c>
    </row>
    <row r="484" spans="1:3" x14ac:dyDescent="0.15">
      <c r="A484" s="1">
        <v>41087</v>
      </c>
      <c r="B484" t="s">
        <v>106</v>
      </c>
      <c r="C484" s="2" t="str">
        <f>HYPERLINK("http://snap.windin.com/ns/bulletin.php?id=1086124&amp;type=1", "兆日科技:首次公开发行股票并在创业板上市公告书")</f>
        <v>兆日科技:首次公开发行股票并在创业板上市公告书</v>
      </c>
    </row>
    <row r="485" spans="1:3" x14ac:dyDescent="0.15">
      <c r="A485" s="1">
        <v>41087</v>
      </c>
      <c r="B485" t="s">
        <v>97</v>
      </c>
      <c r="C485" s="2" t="str">
        <f>HYPERLINK("http://snap.windin.com/ns/bulletin.php?id=1011391&amp;type=1", "喜临门:首次公开发行股票招股意向书附录")</f>
        <v>喜临门:首次公开发行股票招股意向书附录</v>
      </c>
    </row>
    <row r="486" spans="1:3" x14ac:dyDescent="0.15">
      <c r="A486" s="1">
        <v>41087</v>
      </c>
      <c r="B486" t="s">
        <v>107</v>
      </c>
      <c r="C486" s="2" t="str">
        <f>HYPERLINK("http://snap.windin.com/ns/bulletin.php?id=883662&amp;type=1", "天壕节能:首次公开发行股票并在创业板上市公告书（更新后）")</f>
        <v>天壕节能:首次公开发行股票并在创业板上市公告书（更新后）</v>
      </c>
    </row>
    <row r="487" spans="1:3" x14ac:dyDescent="0.15">
      <c r="A487" s="1">
        <v>41086</v>
      </c>
      <c r="B487" t="s">
        <v>99</v>
      </c>
      <c r="C487" s="2" t="str">
        <f>HYPERLINK("http://snap.windin.com/ns/bulletin.php?id=1197982&amp;type=1", "金河生物:首次公开发行股票招股意向书摘要")</f>
        <v>金河生物:首次公开发行股票招股意向书摘要</v>
      </c>
    </row>
    <row r="488" spans="1:3" x14ac:dyDescent="0.15">
      <c r="A488" s="1">
        <v>41086</v>
      </c>
      <c r="B488" t="s">
        <v>99</v>
      </c>
      <c r="C488" s="2" t="str">
        <f>HYPERLINK("http://snap.windin.com/ns/bulletin.php?id=513959&amp;type=1", "金河生物:首次公开发行股票招股意向书")</f>
        <v>金河生物:首次公开发行股票招股意向书</v>
      </c>
    </row>
    <row r="489" spans="1:3" x14ac:dyDescent="0.15">
      <c r="A489" s="1">
        <v>41085</v>
      </c>
      <c r="B489" t="s">
        <v>100</v>
      </c>
      <c r="C489" s="2" t="str">
        <f>HYPERLINK("http://snap.windin.com/ns/bulletin.php?id=1601519&amp;type=1", "乔治白:首次公开发行股票招股意向书")</f>
        <v>乔治白:首次公开发行股票招股意向书</v>
      </c>
    </row>
    <row r="490" spans="1:3" x14ac:dyDescent="0.15">
      <c r="A490" s="1">
        <v>41085</v>
      </c>
      <c r="B490" t="s">
        <v>100</v>
      </c>
      <c r="C490" s="2" t="str">
        <f>HYPERLINK("http://snap.windin.com/ns/bulletin.php?id=1538542&amp;type=1", "乔治白:首次公开发行股票招股意向书摘要")</f>
        <v>乔治白:首次公开发行股票招股意向书摘要</v>
      </c>
    </row>
    <row r="491" spans="1:3" x14ac:dyDescent="0.15">
      <c r="A491" s="1">
        <v>41080</v>
      </c>
      <c r="B491" t="s">
        <v>105</v>
      </c>
      <c r="C491" s="2" t="str">
        <f>HYPERLINK("http://snap.windin.com/ns/bulletin.php?id=1914164&amp;type=1", "亿利达:首次公开发行股票招股说明书摘要")</f>
        <v>亿利达:首次公开发行股票招股说明书摘要</v>
      </c>
    </row>
    <row r="492" spans="1:3" x14ac:dyDescent="0.15">
      <c r="A492" s="1">
        <v>41080</v>
      </c>
      <c r="B492" t="s">
        <v>104</v>
      </c>
      <c r="C492" s="2" t="str">
        <f>HYPERLINK("http://snap.windin.com/ns/bulletin.php?id=996802&amp;type=1", "津膜科技:首次公开发行股票并在创业板上市招股说明书")</f>
        <v>津膜科技:首次公开发行股票并在创业板上市招股说明书</v>
      </c>
    </row>
    <row r="493" spans="1:3" x14ac:dyDescent="0.15">
      <c r="A493" s="1">
        <v>41080</v>
      </c>
      <c r="B493" t="s">
        <v>105</v>
      </c>
      <c r="C493" s="2" t="str">
        <f>HYPERLINK("http://snap.windin.com/ns/bulletin.php?id=806422&amp;type=1", "亿利达:首次公开发行股票招股说明书")</f>
        <v>亿利达:首次公开发行股票招股说明书</v>
      </c>
    </row>
    <row r="494" spans="1:3" x14ac:dyDescent="0.15">
      <c r="A494" s="1">
        <v>41079</v>
      </c>
      <c r="B494" t="s">
        <v>102</v>
      </c>
      <c r="C494" s="2" t="str">
        <f>HYPERLINK("http://snap.windin.com/ns/bulletin.php?id=979061&amp;type=1", "迪森股份:首次公开发行股票并在创业板上市招股意向书")</f>
        <v>迪森股份:首次公开发行股票并在创业板上市招股意向书</v>
      </c>
    </row>
    <row r="495" spans="1:3" x14ac:dyDescent="0.15">
      <c r="A495" s="1">
        <v>41079</v>
      </c>
      <c r="B495" t="s">
        <v>101</v>
      </c>
      <c r="C495" s="2" t="str">
        <f>HYPERLINK("http://snap.windin.com/ns/bulletin.php?id=631698&amp;type=1", "新文化:首次公开发行股票并在创业板上市招股意向书")</f>
        <v>新文化:首次公开发行股票并在创业板上市招股意向书</v>
      </c>
    </row>
    <row r="496" spans="1:3" x14ac:dyDescent="0.15">
      <c r="A496" s="1">
        <v>41078</v>
      </c>
      <c r="B496" t="s">
        <v>109</v>
      </c>
      <c r="C496" s="2" t="str">
        <f>HYPERLINK("http://snap.windin.com/ns/bulletin.php?id=2111065&amp;type=1", "华虹计通:首次公开发行股票并在创业板上市上市公告书提示性公告")</f>
        <v>华虹计通:首次公开发行股票并在创业板上市上市公告书提示性公告</v>
      </c>
    </row>
    <row r="497" spans="1:3" x14ac:dyDescent="0.15">
      <c r="A497" s="1">
        <v>41078</v>
      </c>
      <c r="B497" t="s">
        <v>110</v>
      </c>
      <c r="C497" s="2" t="str">
        <f>HYPERLINK("http://snap.windin.com/ns/bulletin.php?id=1763836&amp;type=1", "海伦钢琴:首次公开发行股票并在创业板上市上市公告书提示性公告")</f>
        <v>海伦钢琴:首次公开发行股票并在创业板上市上市公告书提示性公告</v>
      </c>
    </row>
    <row r="498" spans="1:3" x14ac:dyDescent="0.15">
      <c r="A498" s="1">
        <v>41078</v>
      </c>
      <c r="B498" t="s">
        <v>110</v>
      </c>
      <c r="C498" s="2" t="str">
        <f>HYPERLINK("http://snap.windin.com/ns/bulletin.php?id=1638058&amp;type=1", "海伦钢琴:首次公开发行股票并在创业板上市公告书")</f>
        <v>海伦钢琴:首次公开发行股票并在创业板上市公告书</v>
      </c>
    </row>
    <row r="499" spans="1:3" x14ac:dyDescent="0.15">
      <c r="A499" s="1">
        <v>41078</v>
      </c>
      <c r="B499" t="s">
        <v>109</v>
      </c>
      <c r="C499" s="2" t="str">
        <f>HYPERLINK("http://snap.windin.com/ns/bulletin.php?id=1558474&amp;type=1", "华虹计通:首次公开发行股票并在创业板上市之上市公告书")</f>
        <v>华虹计通:首次公开发行股票并在创业板上市之上市公告书</v>
      </c>
    </row>
    <row r="500" spans="1:3" x14ac:dyDescent="0.15">
      <c r="A500" s="1">
        <v>41078</v>
      </c>
      <c r="B500" t="s">
        <v>111</v>
      </c>
      <c r="C500" s="2" t="str">
        <f>HYPERLINK("http://snap.windin.com/ns/bulletin.php?id=1479444&amp;type=1", "宜安科技:首次公开发行股票并在创业板上市上市公告书")</f>
        <v>宜安科技:首次公开发行股票并在创业板上市上市公告书</v>
      </c>
    </row>
    <row r="501" spans="1:3" x14ac:dyDescent="0.15">
      <c r="A501" s="1">
        <v>41078</v>
      </c>
      <c r="B501" t="s">
        <v>111</v>
      </c>
      <c r="C501" s="2" t="str">
        <f>HYPERLINK("http://snap.windin.com/ns/bulletin.php?id=987872&amp;type=1", "宜安科技:首次公开发行股票并在创业板上市上市公告书提示性公告")</f>
        <v>宜安科技:首次公开发行股票并在创业板上市上市公告书提示性公告</v>
      </c>
    </row>
    <row r="502" spans="1:3" x14ac:dyDescent="0.15">
      <c r="A502" s="1">
        <v>41078</v>
      </c>
      <c r="B502" t="s">
        <v>106</v>
      </c>
      <c r="C502" s="2" t="str">
        <f>HYPERLINK("http://snap.windin.com/ns/bulletin.php?id=591965&amp;type=1", "兆日科技:首次公开发行股票并在创业板上市招股说明书")</f>
        <v>兆日科技:首次公开发行股票并在创业板上市招股说明书</v>
      </c>
    </row>
    <row r="503" spans="1:3" x14ac:dyDescent="0.15">
      <c r="A503" s="1">
        <v>41076</v>
      </c>
      <c r="B503" t="s">
        <v>103</v>
      </c>
      <c r="C503" s="2" t="str">
        <f>HYPERLINK("http://snap.windin.com/ns/bulletin.php?id=1789328&amp;type=1", "中信重工:首次公开发行股票招股意向书摘要")</f>
        <v>中信重工:首次公开发行股票招股意向书摘要</v>
      </c>
    </row>
    <row r="504" spans="1:3" x14ac:dyDescent="0.15">
      <c r="A504" s="1">
        <v>41076</v>
      </c>
      <c r="B504" t="s">
        <v>103</v>
      </c>
      <c r="C504" s="2" t="str">
        <f>HYPERLINK("http://snap.windin.com/ns/bulletin.php?id=1092384&amp;type=1", "中信重工:首次公开发行股票招股意向书")</f>
        <v>中信重工:首次公开发行股票招股意向书</v>
      </c>
    </row>
    <row r="505" spans="1:3" x14ac:dyDescent="0.15">
      <c r="A505" s="1">
        <v>41076</v>
      </c>
      <c r="B505" t="s">
        <v>103</v>
      </c>
      <c r="C505" s="2" t="str">
        <f>HYPERLINK("http://snap.windin.com/ns/bulletin.php?id=798978&amp;type=1", "中信重工:首次公开发行股票招股意向书附录")</f>
        <v>中信重工:首次公开发行股票招股意向书附录</v>
      </c>
    </row>
    <row r="506" spans="1:3" x14ac:dyDescent="0.15">
      <c r="A506" s="1">
        <v>41075</v>
      </c>
      <c r="B506" t="s">
        <v>107</v>
      </c>
      <c r="C506" s="2" t="str">
        <f>HYPERLINK("http://snap.windin.com/ns/bulletin.php?id=185766&amp;type=1", "天壕节能:首次公开发行股票并在创业板上市招股说明书")</f>
        <v>天壕节能:首次公开发行股票并在创业板上市招股说明书</v>
      </c>
    </row>
    <row r="507" spans="1:3" x14ac:dyDescent="0.15">
      <c r="A507" s="1">
        <v>41074</v>
      </c>
      <c r="B507" t="s">
        <v>108</v>
      </c>
      <c r="C507" s="2" t="str">
        <f>HYPERLINK("http://snap.windin.com/ns/bulletin.php?id=187886&amp;type=1", "苏大维格:首次公开发行股票并在创业板上市招股说明书")</f>
        <v>苏大维格:首次公开发行股票并在创业板上市招股说明书</v>
      </c>
    </row>
    <row r="508" spans="1:3" x14ac:dyDescent="0.15">
      <c r="A508" s="1">
        <v>41073</v>
      </c>
      <c r="B508" t="s">
        <v>104</v>
      </c>
      <c r="C508" s="2" t="str">
        <f>HYPERLINK("http://snap.windin.com/ns/bulletin.php?id=2102366&amp;type=1", "津膜科技:首次公开发行股票并在创业板上市招股意向书")</f>
        <v>津膜科技:首次公开发行股票并在创业板上市招股意向书</v>
      </c>
    </row>
    <row r="509" spans="1:3" x14ac:dyDescent="0.15">
      <c r="A509" s="1">
        <v>41072</v>
      </c>
      <c r="B509" t="s">
        <v>112</v>
      </c>
      <c r="C509" s="2" t="str">
        <f>HYPERLINK("http://snap.windin.com/ns/bulletin.php?id=2065005&amp;type=1", "中颖电子:首次公开发行股票并在创业板上市上市公告书")</f>
        <v>中颖电子:首次公开发行股票并在创业板上市上市公告书</v>
      </c>
    </row>
    <row r="510" spans="1:3" x14ac:dyDescent="0.15">
      <c r="A510" s="1">
        <v>41072</v>
      </c>
      <c r="B510" t="s">
        <v>112</v>
      </c>
      <c r="C510" s="2" t="str">
        <f>HYPERLINK("http://snap.windin.com/ns/bulletin.php?id=1936500&amp;type=1", "中颖电子:首次公开发行股票并在创业板上市上市公告书提示性公告")</f>
        <v>中颖电子:首次公开发行股票并在创业板上市上市公告书提示性公告</v>
      </c>
    </row>
    <row r="511" spans="1:3" x14ac:dyDescent="0.15">
      <c r="A511" s="1">
        <v>41072</v>
      </c>
      <c r="B511" t="s">
        <v>113</v>
      </c>
      <c r="C511" s="2" t="str">
        <f>HYPERLINK("http://snap.windin.com/ns/bulletin.php?id=1620024&amp;type=1", "凯利泰:首次公开发行股票并在创业板上市上市公告书")</f>
        <v>凯利泰:首次公开发行股票并在创业板上市上市公告书</v>
      </c>
    </row>
    <row r="512" spans="1:3" x14ac:dyDescent="0.15">
      <c r="A512" s="1">
        <v>41072</v>
      </c>
      <c r="B512" t="s">
        <v>105</v>
      </c>
      <c r="C512" s="2" t="str">
        <f>HYPERLINK("http://snap.windin.com/ns/bulletin.php?id=1199032&amp;type=1", "亿利达:首次公开发行股票招股意向书摘要")</f>
        <v>亿利达:首次公开发行股票招股意向书摘要</v>
      </c>
    </row>
    <row r="513" spans="1:3" x14ac:dyDescent="0.15">
      <c r="A513" s="1">
        <v>41072</v>
      </c>
      <c r="B513" t="s">
        <v>113</v>
      </c>
      <c r="C513" s="2" t="str">
        <f>HYPERLINK("http://snap.windin.com/ns/bulletin.php?id=1166627&amp;type=1", "凯利泰:首次公开发行股票并在创业板上市上市公告书提示性公告")</f>
        <v>凯利泰:首次公开发行股票并在创业板上市上市公告书提示性公告</v>
      </c>
    </row>
    <row r="514" spans="1:3" x14ac:dyDescent="0.15">
      <c r="A514" s="1">
        <v>41072</v>
      </c>
      <c r="B514" t="s">
        <v>105</v>
      </c>
      <c r="C514" s="2" t="str">
        <f>HYPERLINK("http://snap.windin.com/ns/bulletin.php?id=715529&amp;type=1", "亿利达:首次公开发行股票招股意向书")</f>
        <v>亿利达:首次公开发行股票招股意向书</v>
      </c>
    </row>
    <row r="515" spans="1:3" x14ac:dyDescent="0.15">
      <c r="A515" s="1">
        <v>41071</v>
      </c>
      <c r="B515" t="s">
        <v>106</v>
      </c>
      <c r="C515" s="2" t="str">
        <f>HYPERLINK("http://snap.windin.com/ns/bulletin.php?id=1924692&amp;type=1", "兆日科技:首次公开发行股票并在创业板上市招股意向书")</f>
        <v>兆日科技:首次公开发行股票并在创业板上市招股意向书</v>
      </c>
    </row>
    <row r="516" spans="1:3" x14ac:dyDescent="0.15">
      <c r="A516" s="1">
        <v>41071</v>
      </c>
      <c r="B516" t="s">
        <v>114</v>
      </c>
      <c r="C516" s="2" t="str">
        <f>HYPERLINK("http://snap.windin.com/ns/bulletin.php?id=1832022&amp;type=1", "百隆东方:首次公开发行A股股票招股说明书")</f>
        <v>百隆东方:首次公开发行A股股票招股说明书</v>
      </c>
    </row>
    <row r="517" spans="1:3" x14ac:dyDescent="0.15">
      <c r="A517" s="1">
        <v>41071</v>
      </c>
      <c r="B517" t="s">
        <v>115</v>
      </c>
      <c r="C517" s="2" t="str">
        <f>HYPERLINK("http://snap.windin.com/ns/bulletin.php?id=1757773&amp;type=1", "宏大爆破:首次公开发行股票上市公告书")</f>
        <v>宏大爆破:首次公开发行股票上市公告书</v>
      </c>
    </row>
    <row r="518" spans="1:3" x14ac:dyDescent="0.15">
      <c r="A518" s="1">
        <v>41071</v>
      </c>
      <c r="B518" t="s">
        <v>115</v>
      </c>
      <c r="C518" s="2" t="str">
        <f>HYPERLINK("http://snap.windin.com/ns/bulletin.php?id=1647104&amp;type=1", "宏大爆破:首次公开发行股票上市公告书（更新后）")</f>
        <v>宏大爆破:首次公开发行股票上市公告书（更新后）</v>
      </c>
    </row>
    <row r="519" spans="1:3" x14ac:dyDescent="0.15">
      <c r="A519" s="1">
        <v>41071</v>
      </c>
      <c r="B519" t="s">
        <v>116</v>
      </c>
      <c r="C519" s="2" t="str">
        <f>HYPERLINK("http://snap.windin.com/ns/bulletin.php?id=1250918&amp;type=1", "华东重机:首次公开发行股票上市公告书")</f>
        <v>华东重机:首次公开发行股票上市公告书</v>
      </c>
    </row>
    <row r="520" spans="1:3" x14ac:dyDescent="0.15">
      <c r="A520" s="1">
        <v>41071</v>
      </c>
      <c r="B520" t="s">
        <v>117</v>
      </c>
      <c r="C520" s="2" t="str">
        <f>HYPERLINK("http://snap.windin.com/ns/bulletin.php?id=696757&amp;type=1", "龙洲股份:首次公开发行股票上市公告书")</f>
        <v>龙洲股份:首次公开发行股票上市公告书</v>
      </c>
    </row>
    <row r="521" spans="1:3" x14ac:dyDescent="0.15">
      <c r="A521" s="1">
        <v>41071</v>
      </c>
      <c r="B521" t="s">
        <v>118</v>
      </c>
      <c r="C521" s="2" t="str">
        <f>HYPERLINK("http://snap.windin.com/ns/bulletin.php?id=497771&amp;type=1", "猛狮科技:首次公开发行股票上市公告书")</f>
        <v>猛狮科技:首次公开发行股票上市公告书</v>
      </c>
    </row>
    <row r="522" spans="1:3" x14ac:dyDescent="0.15">
      <c r="A522" s="1">
        <v>41071</v>
      </c>
      <c r="B522" t="s">
        <v>114</v>
      </c>
      <c r="C522" s="2" t="str">
        <f>HYPERLINK("http://snap.windin.com/ns/bulletin.php?id=484596&amp;type=1", "百隆东方:首次公开发行A股股票上市公告书")</f>
        <v>百隆东方:首次公开发行A股股票上市公告书</v>
      </c>
    </row>
    <row r="523" spans="1:3" x14ac:dyDescent="0.15">
      <c r="A523" s="1">
        <v>41068</v>
      </c>
      <c r="B523" t="s">
        <v>119</v>
      </c>
      <c r="C523" s="2" t="str">
        <f>HYPERLINK("http://snap.windin.com/ns/bulletin.php?id=1713625&amp;type=1", "中国汽研:首次公开发行股票招股说明书")</f>
        <v>中国汽研:首次公开发行股票招股说明书</v>
      </c>
    </row>
    <row r="524" spans="1:3" x14ac:dyDescent="0.15">
      <c r="A524" s="1">
        <v>41068</v>
      </c>
      <c r="B524" t="s">
        <v>119</v>
      </c>
      <c r="C524" s="2" t="str">
        <f>HYPERLINK("http://snap.windin.com/ns/bulletin.php?id=588136&amp;type=1", "中国汽研:首次公开发行股票上市公告书")</f>
        <v>中国汽研:首次公开发行股票上市公告书</v>
      </c>
    </row>
    <row r="525" spans="1:3" x14ac:dyDescent="0.15">
      <c r="A525" s="1">
        <v>41067</v>
      </c>
      <c r="B525" t="s">
        <v>120</v>
      </c>
      <c r="C525" s="2" t="str">
        <f>HYPERLINK("http://snap.windin.com/ns/bulletin.php?id=2065976&amp;type=1", "旋极信息:首次公开发行股票并在创业板上市公告书提示性公告")</f>
        <v>旋极信息:首次公开发行股票并在创业板上市公告书提示性公告</v>
      </c>
    </row>
    <row r="526" spans="1:3" x14ac:dyDescent="0.15">
      <c r="A526" s="1">
        <v>41067</v>
      </c>
      <c r="B526" t="s">
        <v>121</v>
      </c>
      <c r="C526" s="2" t="str">
        <f>HYPERLINK("http://snap.windin.com/ns/bulletin.php?id=2049075&amp;type=1", "硕贝德:首次公开发行股票并在创业板上市公告书提示性公告")</f>
        <v>硕贝德:首次公开发行股票并在创业板上市公告书提示性公告</v>
      </c>
    </row>
    <row r="527" spans="1:3" x14ac:dyDescent="0.15">
      <c r="A527" s="1">
        <v>41067</v>
      </c>
      <c r="B527" t="s">
        <v>107</v>
      </c>
      <c r="C527" s="2" t="str">
        <f>HYPERLINK("http://snap.windin.com/ns/bulletin.php?id=1991761&amp;type=1", "天壕节能:首次公开发行股票并在创业板上市招股意向书")</f>
        <v>天壕节能:首次公开发行股票并在创业板上市招股意向书</v>
      </c>
    </row>
    <row r="528" spans="1:3" x14ac:dyDescent="0.15">
      <c r="A528" s="1">
        <v>41067</v>
      </c>
      <c r="B528" t="s">
        <v>121</v>
      </c>
      <c r="C528" s="2" t="str">
        <f>HYPERLINK("http://snap.windin.com/ns/bulletin.php?id=1883959&amp;type=1", "硕贝德:首次公开发行股票并在创业板上市上市公告书")</f>
        <v>硕贝德:首次公开发行股票并在创业板上市上市公告书</v>
      </c>
    </row>
    <row r="529" spans="1:3" x14ac:dyDescent="0.15">
      <c r="A529" s="1">
        <v>41067</v>
      </c>
      <c r="B529" t="s">
        <v>120</v>
      </c>
      <c r="C529" s="2" t="str">
        <f>HYPERLINK("http://snap.windin.com/ns/bulletin.php?id=1674258&amp;type=1", "旋极信息:首次公开发行股票并在创业板上市公告书")</f>
        <v>旋极信息:首次公开发行股票并在创业板上市公告书</v>
      </c>
    </row>
    <row r="530" spans="1:3" x14ac:dyDescent="0.15">
      <c r="A530" s="1">
        <v>41067</v>
      </c>
      <c r="B530" t="s">
        <v>111</v>
      </c>
      <c r="C530" s="2" t="str">
        <f>HYPERLINK("http://snap.windin.com/ns/bulletin.php?id=833057&amp;type=1", "宜安科技:首次公开发行股票并在创业板上市招股说明书")</f>
        <v>宜安科技:首次公开发行股票并在创业板上市招股说明书</v>
      </c>
    </row>
    <row r="531" spans="1:3" x14ac:dyDescent="0.15">
      <c r="A531" s="1">
        <v>41067</v>
      </c>
      <c r="B531" t="s">
        <v>108</v>
      </c>
      <c r="C531" s="2" t="str">
        <f>HYPERLINK("http://snap.windin.com/ns/bulletin.php?id=196987&amp;type=1", "苏大维格:首次公开发行股票并在创业板上市招股意向书")</f>
        <v>苏大维格:首次公开发行股票并在创业板上市招股意向书</v>
      </c>
    </row>
    <row r="532" spans="1:3" x14ac:dyDescent="0.15">
      <c r="A532" s="1">
        <v>41067</v>
      </c>
      <c r="B532" t="s">
        <v>110</v>
      </c>
      <c r="C532" s="2" t="str">
        <f>HYPERLINK("http://snap.windin.com/ns/bulletin.php?id=106243&amp;type=1", "海伦钢琴:首次公开发行股票并在创业板上市招股说明书")</f>
        <v>海伦钢琴:首次公开发行股票并在创业板上市招股说明书</v>
      </c>
    </row>
    <row r="533" spans="1:3" x14ac:dyDescent="0.15">
      <c r="A533" s="1">
        <v>41066</v>
      </c>
      <c r="B533" t="s">
        <v>109</v>
      </c>
      <c r="C533" s="2" t="str">
        <f>HYPERLINK("http://snap.windin.com/ns/bulletin.php?id=2017422&amp;type=1", "华虹计通:首次公开发行股票并在创业板上市招股说明书")</f>
        <v>华虹计通:首次公开发行股票并在创业板上市招股说明书</v>
      </c>
    </row>
    <row r="534" spans="1:3" x14ac:dyDescent="0.15">
      <c r="A534" s="1">
        <v>41064</v>
      </c>
      <c r="B534" t="s">
        <v>113</v>
      </c>
      <c r="C534" s="2" t="str">
        <f>HYPERLINK("http://snap.windin.com/ns/bulletin.php?id=1866004&amp;type=1", "凯利泰:首次公开发行股票并在创业板上市招股说明书")</f>
        <v>凯利泰:首次公开发行股票并在创业板上市招股说明书</v>
      </c>
    </row>
    <row r="535" spans="1:3" x14ac:dyDescent="0.15">
      <c r="A535" s="1">
        <v>41064</v>
      </c>
      <c r="B535" t="s">
        <v>122</v>
      </c>
      <c r="C535" s="2" t="str">
        <f>HYPERLINK("http://snap.windin.com/ns/bulletin.php?id=1197905&amp;type=1", "奋达科技:首次公开发行股票上市公告书")</f>
        <v>奋达科技:首次公开发行股票上市公告书</v>
      </c>
    </row>
    <row r="536" spans="1:3" x14ac:dyDescent="0.15">
      <c r="A536" s="1">
        <v>41064</v>
      </c>
      <c r="B536" t="s">
        <v>123</v>
      </c>
      <c r="C536" s="2" t="str">
        <f>HYPERLINK("http://snap.windin.com/ns/bulletin.php?id=1177418&amp;type=1", "黄海机械:首次公开发行股票上市公告书")</f>
        <v>黄海机械:首次公开发行股票上市公告书</v>
      </c>
    </row>
    <row r="537" spans="1:3" x14ac:dyDescent="0.15">
      <c r="A537" s="1">
        <v>41064</v>
      </c>
      <c r="B537" t="s">
        <v>124</v>
      </c>
      <c r="C537" s="2" t="str">
        <f>HYPERLINK("http://snap.windin.com/ns/bulletin.php?id=904523&amp;type=1", "福建金森:首次公开发行股票上市公告书")</f>
        <v>福建金森:首次公开发行股票上市公告书</v>
      </c>
    </row>
    <row r="538" spans="1:3" x14ac:dyDescent="0.15">
      <c r="A538" s="1">
        <v>41061</v>
      </c>
      <c r="B538" t="s">
        <v>112</v>
      </c>
      <c r="C538" s="2" t="str">
        <f>HYPERLINK("http://snap.windin.com/ns/bulletin.php?id=1750386&amp;type=1", "中颖电子:首次公开发行股票并在创业板上市招股说明书")</f>
        <v>中颖电子:首次公开发行股票并在创业板上市招股说明书</v>
      </c>
    </row>
    <row r="539" spans="1:3" x14ac:dyDescent="0.15">
      <c r="A539" s="1">
        <v>41060</v>
      </c>
      <c r="B539" t="s">
        <v>125</v>
      </c>
      <c r="C539" s="2" t="str">
        <f>HYPERLINK("http://snap.windin.com/ns/bulletin.php?id=2092723&amp;type=1", "华灿光电:首次公开发行股票并在创业板上市上市公告书提示性公告")</f>
        <v>华灿光电:首次公开发行股票并在创业板上市上市公告书提示性公告</v>
      </c>
    </row>
    <row r="540" spans="1:3" x14ac:dyDescent="0.15">
      <c r="A540" s="1">
        <v>41060</v>
      </c>
      <c r="B540" t="s">
        <v>126</v>
      </c>
      <c r="C540" s="2" t="str">
        <f>HYPERLINK("http://snap.windin.com/ns/bulletin.php?id=1808206&amp;type=1", "德威新材:首次公开发行股票并在创业板上市公告书提示性公告")</f>
        <v>德威新材:首次公开发行股票并在创业板上市公告书提示性公告</v>
      </c>
    </row>
    <row r="541" spans="1:3" x14ac:dyDescent="0.15">
      <c r="A541" s="1">
        <v>41060</v>
      </c>
      <c r="B541" t="s">
        <v>127</v>
      </c>
      <c r="C541" s="2" t="str">
        <f>HYPERLINK("http://snap.windin.com/ns/bulletin.php?id=1558671&amp;type=1", "海达股份:首次公开发行股票并在创业板上市公告书提示性公告")</f>
        <v>海达股份:首次公开发行股票并在创业板上市公告书提示性公告</v>
      </c>
    </row>
    <row r="542" spans="1:3" x14ac:dyDescent="0.15">
      <c r="A542" s="1">
        <v>41060</v>
      </c>
      <c r="B542" t="s">
        <v>117</v>
      </c>
      <c r="C542" s="2" t="str">
        <f>HYPERLINK("http://snap.windin.com/ns/bulletin.php?id=1483506&amp;type=1", "龙洲股份:首次公开发行股票招股说明书")</f>
        <v>龙洲股份:首次公开发行股票招股说明书</v>
      </c>
    </row>
    <row r="543" spans="1:3" x14ac:dyDescent="0.15">
      <c r="A543" s="1">
        <v>41060</v>
      </c>
      <c r="B543" t="s">
        <v>126</v>
      </c>
      <c r="C543" s="2" t="str">
        <f>HYPERLINK("http://snap.windin.com/ns/bulletin.php?id=1337060&amp;type=1", "德威新材:首次公开发行股票并在创业板上市公告书")</f>
        <v>德威新材:首次公开发行股票并在创业板上市公告书</v>
      </c>
    </row>
    <row r="544" spans="1:3" x14ac:dyDescent="0.15">
      <c r="A544" s="1">
        <v>41060</v>
      </c>
      <c r="B544" t="s">
        <v>118</v>
      </c>
      <c r="C544" s="2" t="str">
        <f>HYPERLINK("http://snap.windin.com/ns/bulletin.php?id=1230946&amp;type=1", "猛狮科技:首次公开发行股票招股说明书")</f>
        <v>猛狮科技:首次公开发行股票招股说明书</v>
      </c>
    </row>
    <row r="545" spans="1:3" x14ac:dyDescent="0.15">
      <c r="A545" s="1">
        <v>41060</v>
      </c>
      <c r="B545" t="s">
        <v>125</v>
      </c>
      <c r="C545" s="2" t="str">
        <f>HYPERLINK("http://snap.windin.com/ns/bulletin.php?id=976336&amp;type=1", "华灿光电:首次公开发行股票并在创业板上市公告书")</f>
        <v>华灿光电:首次公开发行股票并在创业板上市公告书</v>
      </c>
    </row>
    <row r="546" spans="1:3" x14ac:dyDescent="0.15">
      <c r="A546" s="1">
        <v>41060</v>
      </c>
      <c r="B546" t="s">
        <v>117</v>
      </c>
      <c r="C546" s="2" t="str">
        <f>HYPERLINK("http://snap.windin.com/ns/bulletin.php?id=859627&amp;type=1", "龙洲股份:首次公开发行股票招股说明书摘要")</f>
        <v>龙洲股份:首次公开发行股票招股说明书摘要</v>
      </c>
    </row>
    <row r="547" spans="1:3" x14ac:dyDescent="0.15">
      <c r="A547" s="1">
        <v>41060</v>
      </c>
      <c r="B547" t="s">
        <v>127</v>
      </c>
      <c r="C547" s="2" t="str">
        <f>HYPERLINK("http://snap.windin.com/ns/bulletin.php?id=729593&amp;type=1", "海达股份:首次公开发行股票并在创业板上市上市公告书")</f>
        <v>海达股份:首次公开发行股票并在创业板上市上市公告书</v>
      </c>
    </row>
    <row r="548" spans="1:3" x14ac:dyDescent="0.15">
      <c r="A548" s="1">
        <v>41060</v>
      </c>
      <c r="B548" t="s">
        <v>118</v>
      </c>
      <c r="C548" s="2" t="str">
        <f>HYPERLINK("http://snap.windin.com/ns/bulletin.php?id=411335&amp;type=1", "猛狮科技:首次公开发行股票招股说明书摘要")</f>
        <v>猛狮科技:首次公开发行股票招股说明书摘要</v>
      </c>
    </row>
    <row r="549" spans="1:3" x14ac:dyDescent="0.15">
      <c r="A549" s="1">
        <v>41059</v>
      </c>
      <c r="B549" t="s">
        <v>109</v>
      </c>
      <c r="C549" s="2" t="str">
        <f>HYPERLINK("http://snap.windin.com/ns/bulletin.php?id=1522438&amp;type=1", "华虹计通:首次公开发行股票并在创业板上市招股意向书")</f>
        <v>华虹计通:首次公开发行股票并在创业板上市招股意向书</v>
      </c>
    </row>
    <row r="550" spans="1:3" x14ac:dyDescent="0.15">
      <c r="A550" s="1">
        <v>41059</v>
      </c>
      <c r="B550" t="s">
        <v>111</v>
      </c>
      <c r="C550" s="2" t="str">
        <f>HYPERLINK("http://snap.windin.com/ns/bulletin.php?id=1245387&amp;type=1", "宜安科技:首次公开发行股票并在创业板上市招股意向书")</f>
        <v>宜安科技:首次公开发行股票并在创业板上市招股意向书</v>
      </c>
    </row>
    <row r="551" spans="1:3" x14ac:dyDescent="0.15">
      <c r="A551" s="1">
        <v>41059</v>
      </c>
      <c r="B551" t="s">
        <v>110</v>
      </c>
      <c r="C551" s="2" t="str">
        <f>HYPERLINK("http://snap.windin.com/ns/bulletin.php?id=692430&amp;type=1", "海伦钢琴:首次公开发行股票并在创业板上市招股意向书")</f>
        <v>海伦钢琴:首次公开发行股票并在创业板上市招股意向书</v>
      </c>
    </row>
    <row r="552" spans="1:3" x14ac:dyDescent="0.15">
      <c r="A552" s="1">
        <v>41058</v>
      </c>
      <c r="B552" t="s">
        <v>115</v>
      </c>
      <c r="C552" s="2" t="str">
        <f>HYPERLINK("http://snap.windin.com/ns/bulletin.php?id=1781190&amp;type=1", "宏大爆破:首次公开发行股票招股说明书摘要（更新后）")</f>
        <v>宏大爆破:首次公开发行股票招股说明书摘要（更新后）</v>
      </c>
    </row>
    <row r="553" spans="1:3" x14ac:dyDescent="0.15">
      <c r="A553" s="1">
        <v>41058</v>
      </c>
      <c r="B553" t="s">
        <v>120</v>
      </c>
      <c r="C553" s="2" t="str">
        <f>HYPERLINK("http://snap.windin.com/ns/bulletin.php?id=1765484&amp;type=1", "旋极信息:首次公开发行股票并在创业板上市招股说明书")</f>
        <v>旋极信息:首次公开发行股票并在创业板上市招股说明书</v>
      </c>
    </row>
    <row r="554" spans="1:3" x14ac:dyDescent="0.15">
      <c r="A554" s="1">
        <v>41058</v>
      </c>
      <c r="B554" t="s">
        <v>115</v>
      </c>
      <c r="C554" s="2" t="str">
        <f>HYPERLINK("http://snap.windin.com/ns/bulletin.php?id=1672636&amp;type=1", "宏大爆破:首次公开发行股票招股说明书")</f>
        <v>宏大爆破:首次公开发行股票招股说明书</v>
      </c>
    </row>
    <row r="555" spans="1:3" x14ac:dyDescent="0.15">
      <c r="A555" s="1">
        <v>41058</v>
      </c>
      <c r="B555" t="s">
        <v>115</v>
      </c>
      <c r="C555" s="2" t="str">
        <f>HYPERLINK("http://snap.windin.com/ns/bulletin.php?id=1186648&amp;type=1", "宏大爆破:首次公开发行股票招股说明书摘要")</f>
        <v>宏大爆破:首次公开发行股票招股说明书摘要</v>
      </c>
    </row>
    <row r="556" spans="1:3" x14ac:dyDescent="0.15">
      <c r="A556" s="1">
        <v>41058</v>
      </c>
      <c r="B556" t="s">
        <v>116</v>
      </c>
      <c r="C556" s="2" t="str">
        <f>HYPERLINK("http://snap.windin.com/ns/bulletin.php?id=828514&amp;type=1", "华东重机:首次公开发行股票招股说明书")</f>
        <v>华东重机:首次公开发行股票招股说明书</v>
      </c>
    </row>
    <row r="557" spans="1:3" x14ac:dyDescent="0.15">
      <c r="A557" s="1">
        <v>41058</v>
      </c>
      <c r="B557" t="s">
        <v>128</v>
      </c>
      <c r="C557" s="2" t="str">
        <f>HYPERLINK("http://snap.windin.com/ns/bulletin.php?id=457795&amp;type=1", "珠江钢琴:首次公开发行股票上市公告书")</f>
        <v>珠江钢琴:首次公开发行股票上市公告书</v>
      </c>
    </row>
    <row r="558" spans="1:3" x14ac:dyDescent="0.15">
      <c r="A558" s="1">
        <v>41058</v>
      </c>
      <c r="B558" t="s">
        <v>116</v>
      </c>
      <c r="C558" s="2" t="str">
        <f>HYPERLINK("http://snap.windin.com/ns/bulletin.php?id=136140&amp;type=1", "华东重机:首次公开发行股票招股说明书摘要")</f>
        <v>华东重机:首次公开发行股票招股说明书摘要</v>
      </c>
    </row>
    <row r="559" spans="1:3" x14ac:dyDescent="0.15">
      <c r="A559" s="1">
        <v>41058</v>
      </c>
      <c r="B559" t="s">
        <v>115</v>
      </c>
      <c r="C559" s="2" t="str">
        <f>HYPERLINK("http://snap.windin.com/ns/bulletin.php?id=98911&amp;type=1", "宏大爆破:首次公开发行股票招股说明书（更新后）")</f>
        <v>宏大爆破:首次公开发行股票招股说明书（更新后）</v>
      </c>
    </row>
    <row r="560" spans="1:3" x14ac:dyDescent="0.15">
      <c r="A560" s="1">
        <v>41057</v>
      </c>
      <c r="B560" t="s">
        <v>129</v>
      </c>
      <c r="C560" s="2" t="str">
        <f>HYPERLINK("http://snap.windin.com/ns/bulletin.php?id=770593&amp;type=1", "华贸物流:首次公开发行股票招股说明书")</f>
        <v>华贸物流:首次公开发行股票招股说明书</v>
      </c>
    </row>
    <row r="561" spans="1:3" x14ac:dyDescent="0.15">
      <c r="A561" s="1">
        <v>41057</v>
      </c>
      <c r="B561" t="s">
        <v>129</v>
      </c>
      <c r="C561" s="2" t="str">
        <f>HYPERLINK("http://snap.windin.com/ns/bulletin.php?id=232679&amp;type=1", "华贸物流:首次公开发行A股股票上市公告书")</f>
        <v>华贸物流:首次公开发行A股股票上市公告书</v>
      </c>
    </row>
    <row r="562" spans="1:3" x14ac:dyDescent="0.15">
      <c r="A562" s="1">
        <v>41054</v>
      </c>
      <c r="B562" t="s">
        <v>112</v>
      </c>
      <c r="C562" s="2" t="str">
        <f>HYPERLINK("http://snap.windin.com/ns/bulletin.php?id=1647848&amp;type=1", "中颖电子:首次公开发行股票并在创业板上市招股意向书")</f>
        <v>中颖电子:首次公开发行股票并在创业板上市招股意向书</v>
      </c>
    </row>
    <row r="563" spans="1:3" x14ac:dyDescent="0.15">
      <c r="A563" s="1">
        <v>41054</v>
      </c>
      <c r="B563" t="s">
        <v>113</v>
      </c>
      <c r="C563" s="2" t="str">
        <f>HYPERLINK("http://snap.windin.com/ns/bulletin.php?id=1536960&amp;type=1", "凯利泰:首次公开发行股票并在创业板上市的招股意向书")</f>
        <v>凯利泰:首次公开发行股票并在创业板上市的招股意向书</v>
      </c>
    </row>
    <row r="564" spans="1:3" x14ac:dyDescent="0.15">
      <c r="A564" s="1">
        <v>41054</v>
      </c>
      <c r="B564" t="s">
        <v>121</v>
      </c>
      <c r="C564" s="2" t="str">
        <f>HYPERLINK("http://snap.windin.com/ns/bulletin.php?id=414823&amp;type=1", "硕贝德:首次公开发行股票并在创业板上市招股说明书")</f>
        <v>硕贝德:首次公开发行股票并在创业板上市招股说明书</v>
      </c>
    </row>
    <row r="565" spans="1:3" x14ac:dyDescent="0.15">
      <c r="A565" s="1">
        <v>41053</v>
      </c>
      <c r="B565" t="s">
        <v>123</v>
      </c>
      <c r="C565" s="2" t="str">
        <f>HYPERLINK("http://snap.windin.com/ns/bulletin.php?id=1721131&amp;type=1", "黄海机械:首次公开发行股票招股说明书摘要（更新后）")</f>
        <v>黄海机械:首次公开发行股票招股说明书摘要（更新后）</v>
      </c>
    </row>
    <row r="566" spans="1:3" x14ac:dyDescent="0.15">
      <c r="A566" s="1">
        <v>41053</v>
      </c>
      <c r="B566" t="s">
        <v>130</v>
      </c>
      <c r="C566" s="2" t="str">
        <f>HYPERLINK("http://snap.windin.com/ns/bulletin.php?id=1712925&amp;type=1", "东诚生化:首次公开发行股票上市公告书")</f>
        <v>东诚生化:首次公开发行股票上市公告书</v>
      </c>
    </row>
    <row r="567" spans="1:3" x14ac:dyDescent="0.15">
      <c r="A567" s="1">
        <v>41053</v>
      </c>
      <c r="B567" t="s">
        <v>123</v>
      </c>
      <c r="C567" s="2" t="str">
        <f>HYPERLINK("http://snap.windin.com/ns/bulletin.php?id=802705&amp;type=1", "黄海机械:首次公开发行股票招股说明书（更新后）")</f>
        <v>黄海机械:首次公开发行股票招股说明书（更新后）</v>
      </c>
    </row>
    <row r="568" spans="1:3" x14ac:dyDescent="0.15">
      <c r="A568" s="1">
        <v>41053</v>
      </c>
      <c r="B568" t="s">
        <v>122</v>
      </c>
      <c r="C568" s="2" t="str">
        <f>HYPERLINK("http://snap.windin.com/ns/bulletin.php?id=785889&amp;type=1", "奋达科技:首次公开发行股票招股说明书摘要")</f>
        <v>奋达科技:首次公开发行股票招股说明书摘要</v>
      </c>
    </row>
    <row r="569" spans="1:3" x14ac:dyDescent="0.15">
      <c r="A569" s="1">
        <v>41053</v>
      </c>
      <c r="B569" t="s">
        <v>131</v>
      </c>
      <c r="C569" s="2" t="str">
        <f>HYPERLINK("http://snap.windin.com/ns/bulletin.php?id=646788&amp;type=1", "顺威股份:首次公开发行股票上市公告书")</f>
        <v>顺威股份:首次公开发行股票上市公告书</v>
      </c>
    </row>
    <row r="570" spans="1:3" x14ac:dyDescent="0.15">
      <c r="A570" s="1">
        <v>41053</v>
      </c>
      <c r="B570" t="s">
        <v>132</v>
      </c>
      <c r="C570" s="2" t="str">
        <f>HYPERLINK("http://snap.windin.com/ns/bulletin.php?id=501717&amp;type=1", "浙江美大:首次公开发行股票上市公告书")</f>
        <v>浙江美大:首次公开发行股票上市公告书</v>
      </c>
    </row>
    <row r="571" spans="1:3" x14ac:dyDescent="0.15">
      <c r="A571" s="1">
        <v>41053</v>
      </c>
      <c r="B571" t="s">
        <v>122</v>
      </c>
      <c r="C571" s="2" t="str">
        <f>HYPERLINK("http://snap.windin.com/ns/bulletin.php?id=425096&amp;type=1", "奋达科技:首次公开发行股票招股说明书")</f>
        <v>奋达科技:首次公开发行股票招股说明书</v>
      </c>
    </row>
    <row r="572" spans="1:3" x14ac:dyDescent="0.15">
      <c r="A572" s="1">
        <v>41052</v>
      </c>
      <c r="B572" t="s">
        <v>127</v>
      </c>
      <c r="C572" s="2" t="str">
        <f>HYPERLINK("http://snap.windin.com/ns/bulletin.php?id=1899922&amp;type=1", "海达股份:首次公开发行股票并在创业板上市招股说明书")</f>
        <v>海达股份:首次公开发行股票并在创业板上市招股说明书</v>
      </c>
    </row>
    <row r="573" spans="1:3" x14ac:dyDescent="0.15">
      <c r="A573" s="1">
        <v>41052</v>
      </c>
      <c r="B573" t="s">
        <v>118</v>
      </c>
      <c r="C573" s="2" t="str">
        <f>HYPERLINK("http://snap.windin.com/ns/bulletin.php?id=1500963&amp;type=1", "猛狮科技:首次公开发行股票招股意向书摘要")</f>
        <v>猛狮科技:首次公开发行股票招股意向书摘要</v>
      </c>
    </row>
    <row r="574" spans="1:3" x14ac:dyDescent="0.15">
      <c r="A574" s="1">
        <v>41052</v>
      </c>
      <c r="B574" t="s">
        <v>118</v>
      </c>
      <c r="C574" s="2" t="str">
        <f>HYPERLINK("http://snap.windin.com/ns/bulletin.php?id=684639&amp;type=1", "猛狮科技:首次公开发行股票招股意向书")</f>
        <v>猛狮科技:首次公开发行股票招股意向书</v>
      </c>
    </row>
    <row r="575" spans="1:3" x14ac:dyDescent="0.15">
      <c r="A575" s="1">
        <v>41051</v>
      </c>
      <c r="B575" t="s">
        <v>124</v>
      </c>
      <c r="C575" s="2" t="str">
        <f>HYPERLINK("http://snap.windin.com/ns/bulletin.php?id=1962108&amp;type=1", "福建金森:首次公开发行股票招股说明书摘要")</f>
        <v>福建金森:首次公开发行股票招股说明书摘要</v>
      </c>
    </row>
    <row r="576" spans="1:3" x14ac:dyDescent="0.15">
      <c r="A576" s="1">
        <v>41051</v>
      </c>
      <c r="B576" t="s">
        <v>133</v>
      </c>
      <c r="C576" s="2" t="str">
        <f>HYPERLINK("http://snap.windin.com/ns/bulletin.php?id=1939482&amp;type=1", "博晖创新:首次公开发行股票并在创业板上市上市公告书")</f>
        <v>博晖创新:首次公开发行股票并在创业板上市上市公告书</v>
      </c>
    </row>
    <row r="577" spans="1:3" x14ac:dyDescent="0.15">
      <c r="A577" s="1">
        <v>41051</v>
      </c>
      <c r="B577" t="s">
        <v>114</v>
      </c>
      <c r="C577" s="2" t="str">
        <f>HYPERLINK("http://snap.windin.com/ns/bulletin.php?id=1885518&amp;type=1", "百隆东方:首次公开发行股票招股意向书附录")</f>
        <v>百隆东方:首次公开发行股票招股意向书附录</v>
      </c>
    </row>
    <row r="578" spans="1:3" x14ac:dyDescent="0.15">
      <c r="A578" s="1">
        <v>41051</v>
      </c>
      <c r="B578" t="s">
        <v>115</v>
      </c>
      <c r="C578" s="2" t="str">
        <f>HYPERLINK("http://snap.windin.com/ns/bulletin.php?id=1641545&amp;type=1", "宏大爆破:首次公开发行股票招股意向书")</f>
        <v>宏大爆破:首次公开发行股票招股意向书</v>
      </c>
    </row>
    <row r="579" spans="1:3" x14ac:dyDescent="0.15">
      <c r="A579" s="1">
        <v>41051</v>
      </c>
      <c r="B579" t="s">
        <v>114</v>
      </c>
      <c r="C579" s="2" t="str">
        <f>HYPERLINK("http://snap.windin.com/ns/bulletin.php?id=1599793&amp;type=1", "百隆东方:首次公开发行A股股票招股意向书")</f>
        <v>百隆东方:首次公开发行A股股票招股意向书</v>
      </c>
    </row>
    <row r="580" spans="1:3" x14ac:dyDescent="0.15">
      <c r="A580" s="1">
        <v>41051</v>
      </c>
      <c r="B580" t="s">
        <v>133</v>
      </c>
      <c r="C580" s="2" t="str">
        <f>HYPERLINK("http://snap.windin.com/ns/bulletin.php?id=1560155&amp;type=1", "博晖创新:首次公开发行股票并在创业板上市上市公告书提示性公告")</f>
        <v>博晖创新:首次公开发行股票并在创业板上市上市公告书提示性公告</v>
      </c>
    </row>
    <row r="581" spans="1:3" x14ac:dyDescent="0.15">
      <c r="A581" s="1">
        <v>41051</v>
      </c>
      <c r="B581" t="s">
        <v>134</v>
      </c>
      <c r="C581" s="2" t="str">
        <f>HYPERLINK("http://snap.windin.com/ns/bulletin.php?id=1478961&amp;type=1", "麦捷科技:首次公开发行股票并在创业板上市公告书提示性公告")</f>
        <v>麦捷科技:首次公开发行股票并在创业板上市公告书提示性公告</v>
      </c>
    </row>
    <row r="582" spans="1:3" x14ac:dyDescent="0.15">
      <c r="A582" s="1">
        <v>41051</v>
      </c>
      <c r="B582" t="s">
        <v>116</v>
      </c>
      <c r="C582" s="2" t="str">
        <f>HYPERLINK("http://snap.windin.com/ns/bulletin.php?id=1405364&amp;type=1", "华东重机:首次公开发行股票招股意向书")</f>
        <v>华东重机:首次公开发行股票招股意向书</v>
      </c>
    </row>
    <row r="583" spans="1:3" x14ac:dyDescent="0.15">
      <c r="A583" s="1">
        <v>41051</v>
      </c>
      <c r="B583" t="s">
        <v>117</v>
      </c>
      <c r="C583" s="2" t="str">
        <f>HYPERLINK("http://snap.windin.com/ns/bulletin.php?id=1202846&amp;type=1", "龙洲股份:首次公开发行股票招股意向书")</f>
        <v>龙洲股份:首次公开发行股票招股意向书</v>
      </c>
    </row>
    <row r="584" spans="1:3" x14ac:dyDescent="0.15">
      <c r="A584" s="1">
        <v>41051</v>
      </c>
      <c r="B584" t="s">
        <v>135</v>
      </c>
      <c r="C584" s="2" t="str">
        <f>HYPERLINK("http://snap.windin.com/ns/bulletin.php?id=1177441&amp;type=1", "同大股份:首次公开发行股票并在创业板上市公告书")</f>
        <v>同大股份:首次公开发行股票并在创业板上市公告书</v>
      </c>
    </row>
    <row r="585" spans="1:3" x14ac:dyDescent="0.15">
      <c r="A585" s="1">
        <v>41051</v>
      </c>
      <c r="B585" t="s">
        <v>117</v>
      </c>
      <c r="C585" s="2" t="str">
        <f>HYPERLINK("http://snap.windin.com/ns/bulletin.php?id=1152701&amp;type=1", "龙洲股份:首次公开发行股票招股意向书摘要")</f>
        <v>龙洲股份:首次公开发行股票招股意向书摘要</v>
      </c>
    </row>
    <row r="586" spans="1:3" x14ac:dyDescent="0.15">
      <c r="A586" s="1">
        <v>41051</v>
      </c>
      <c r="B586" t="s">
        <v>114</v>
      </c>
      <c r="C586" s="2" t="str">
        <f>HYPERLINK("http://snap.windin.com/ns/bulletin.php?id=1126291&amp;type=1", "百隆东方:首次公开发行A股股票招股意向书摘要")</f>
        <v>百隆东方:首次公开发行A股股票招股意向书摘要</v>
      </c>
    </row>
    <row r="587" spans="1:3" x14ac:dyDescent="0.15">
      <c r="A587" s="1">
        <v>41051</v>
      </c>
      <c r="B587" t="s">
        <v>124</v>
      </c>
      <c r="C587" s="2" t="str">
        <f>HYPERLINK("http://snap.windin.com/ns/bulletin.php?id=1070443&amp;type=1", "福建金森:首次公开发行股票招股说明书")</f>
        <v>福建金森:首次公开发行股票招股说明书</v>
      </c>
    </row>
    <row r="588" spans="1:3" x14ac:dyDescent="0.15">
      <c r="A588" s="1">
        <v>41051</v>
      </c>
      <c r="B588" t="s">
        <v>116</v>
      </c>
      <c r="C588" s="2" t="str">
        <f>HYPERLINK("http://snap.windin.com/ns/bulletin.php?id=633808&amp;type=1", "华东重机:首次公开发行股票招股意向书摘要")</f>
        <v>华东重机:首次公开发行股票招股意向书摘要</v>
      </c>
    </row>
    <row r="589" spans="1:3" x14ac:dyDescent="0.15">
      <c r="A589" s="1">
        <v>41051</v>
      </c>
      <c r="B589" t="s">
        <v>115</v>
      </c>
      <c r="C589" s="2" t="str">
        <f>HYPERLINK("http://snap.windin.com/ns/bulletin.php?id=585850&amp;type=1", "宏大爆破:首次公开发行股票招股意向书摘要")</f>
        <v>宏大爆破:首次公开发行股票招股意向书摘要</v>
      </c>
    </row>
    <row r="590" spans="1:3" x14ac:dyDescent="0.15">
      <c r="A590" s="1">
        <v>41051</v>
      </c>
      <c r="B590" t="s">
        <v>134</v>
      </c>
      <c r="C590" s="2" t="str">
        <f>HYPERLINK("http://snap.windin.com/ns/bulletin.php?id=512426&amp;type=1", "麦捷科技:首次公开发行股票并在创业板上市公告书")</f>
        <v>麦捷科技:首次公开发行股票并在创业板上市公告书</v>
      </c>
    </row>
    <row r="591" spans="1:3" x14ac:dyDescent="0.15">
      <c r="A591" s="1">
        <v>41051</v>
      </c>
      <c r="B591" t="s">
        <v>136</v>
      </c>
      <c r="C591" s="2" t="str">
        <f>HYPERLINK("http://snap.windin.com/ns/bulletin.php?id=464202&amp;type=1", "巴安水务:关于中国证券监督管理委员会对公司《招股说明书》相关事项调查公告")</f>
        <v>巴安水务:关于中国证券监督管理委员会对公司《招股说明书》相关事项调查公告</v>
      </c>
    </row>
    <row r="592" spans="1:3" x14ac:dyDescent="0.15">
      <c r="A592" s="1">
        <v>41051</v>
      </c>
      <c r="B592" t="s">
        <v>135</v>
      </c>
      <c r="C592" s="2" t="str">
        <f>HYPERLINK("http://snap.windin.com/ns/bulletin.php?id=168609&amp;type=1", "同大股份:首次公开发行股票并在创业板上市公告书提示性公告")</f>
        <v>同大股份:首次公开发行股票并在创业板上市公告书提示性公告</v>
      </c>
    </row>
    <row r="593" spans="1:3" x14ac:dyDescent="0.15">
      <c r="A593" s="1">
        <v>41050</v>
      </c>
      <c r="B593" t="s">
        <v>126</v>
      </c>
      <c r="C593" s="2" t="str">
        <f>HYPERLINK("http://snap.windin.com/ns/bulletin.php?id=1477342&amp;type=1", "德威新材:首次公开发行股票并在创业板上市招股说明书")</f>
        <v>德威新材:首次公开发行股票并在创业板上市招股说明书</v>
      </c>
    </row>
    <row r="594" spans="1:3" x14ac:dyDescent="0.15">
      <c r="A594" s="1">
        <v>41050</v>
      </c>
      <c r="B594" t="s">
        <v>125</v>
      </c>
      <c r="C594" s="2" t="str">
        <f>HYPERLINK("http://snap.windin.com/ns/bulletin.php?id=634107&amp;type=1", "华灿光电:首次公开发行股票并在创业板上市招股说明书")</f>
        <v>华灿光电:首次公开发行股票并在创业板上市招股说明书</v>
      </c>
    </row>
    <row r="595" spans="1:3" x14ac:dyDescent="0.15">
      <c r="A595" s="1">
        <v>41047</v>
      </c>
      <c r="B595" t="s">
        <v>128</v>
      </c>
      <c r="C595" s="2" t="str">
        <f>HYPERLINK("http://snap.windin.com/ns/bulletin.php?id=2014621&amp;type=1", "珠江钢琴:首次公开发行股票招股说明书")</f>
        <v>珠江钢琴:首次公开发行股票招股说明书</v>
      </c>
    </row>
    <row r="596" spans="1:3" x14ac:dyDescent="0.15">
      <c r="A596" s="1">
        <v>41047</v>
      </c>
      <c r="B596" t="s">
        <v>137</v>
      </c>
      <c r="C596" s="2" t="str">
        <f>HYPERLINK("http://snap.windin.com/ns/bulletin.php?id=1476058&amp;type=1", "日出东方:首次公开发行A股股票上市公告书")</f>
        <v>日出东方:首次公开发行A股股票上市公告书</v>
      </c>
    </row>
    <row r="597" spans="1:3" x14ac:dyDescent="0.15">
      <c r="A597" s="1">
        <v>41047</v>
      </c>
      <c r="B597" t="s">
        <v>128</v>
      </c>
      <c r="C597" s="2" t="str">
        <f>HYPERLINK("http://snap.windin.com/ns/bulletin.php?id=1046321&amp;type=1", "珠江钢琴:首次公开发行股票招股说明书摘要")</f>
        <v>珠江钢琴:首次公开发行股票招股说明书摘要</v>
      </c>
    </row>
    <row r="598" spans="1:3" x14ac:dyDescent="0.15">
      <c r="A598" s="1">
        <v>41047</v>
      </c>
      <c r="B598" t="s">
        <v>137</v>
      </c>
      <c r="C598" s="2" t="str">
        <f>HYPERLINK("http://snap.windin.com/ns/bulletin.php?id=1026157&amp;type=1", "日出东方:首次公开发行股票招股说明书")</f>
        <v>日出东方:首次公开发行股票招股说明书</v>
      </c>
    </row>
    <row r="599" spans="1:3" x14ac:dyDescent="0.15">
      <c r="A599" s="1">
        <v>41046</v>
      </c>
      <c r="B599" t="s">
        <v>138</v>
      </c>
      <c r="C599" s="2" t="str">
        <f>HYPERLINK("http://snap.windin.com/ns/bulletin.php?id=1226954&amp;type=1", "宏昌电子:首次公开发行股票招股说明书")</f>
        <v>宏昌电子:首次公开发行股票招股说明书</v>
      </c>
    </row>
    <row r="600" spans="1:3" x14ac:dyDescent="0.15">
      <c r="A600" s="1">
        <v>41046</v>
      </c>
      <c r="B600" t="s">
        <v>138</v>
      </c>
      <c r="C600" s="2" t="str">
        <f>HYPERLINK("http://snap.windin.com/ns/bulletin.php?id=840484&amp;type=1", "宏昌电子:首次公开发行A股股票上市公告书")</f>
        <v>宏昌电子:首次公开发行A股股票上市公告书</v>
      </c>
    </row>
    <row r="601" spans="1:3" x14ac:dyDescent="0.15">
      <c r="A601" s="1">
        <v>41045</v>
      </c>
      <c r="B601" t="s">
        <v>121</v>
      </c>
      <c r="C601" s="2" t="str">
        <f>HYPERLINK("http://snap.windin.com/ns/bulletin.php?id=1905853&amp;type=1", "硕贝德:首次公开发行股票并在创业板上市招股意向书")</f>
        <v>硕贝德:首次公开发行股票并在创业板上市招股意向书</v>
      </c>
    </row>
    <row r="602" spans="1:3" x14ac:dyDescent="0.15">
      <c r="A602" s="1">
        <v>41045</v>
      </c>
      <c r="B602" t="s">
        <v>123</v>
      </c>
      <c r="C602" s="2" t="str">
        <f>HYPERLINK("http://snap.windin.com/ns/bulletin.php?id=961904&amp;type=1", "黄海机械:首次公开发行股票招股意向书摘要")</f>
        <v>黄海机械:首次公开发行股票招股意向书摘要</v>
      </c>
    </row>
    <row r="603" spans="1:3" x14ac:dyDescent="0.15">
      <c r="A603" s="1">
        <v>41045</v>
      </c>
      <c r="B603" t="s">
        <v>123</v>
      </c>
      <c r="C603" s="2" t="str">
        <f>HYPERLINK("http://snap.windin.com/ns/bulletin.php?id=942365&amp;type=1", "黄海机械:首次公开发行股票招股意向书")</f>
        <v>黄海机械:首次公开发行股票招股意向书</v>
      </c>
    </row>
    <row r="604" spans="1:3" x14ac:dyDescent="0.15">
      <c r="A604" s="1">
        <v>41044</v>
      </c>
      <c r="B604" t="s">
        <v>122</v>
      </c>
      <c r="C604" s="2" t="str">
        <f>HYPERLINK("http://snap.windin.com/ns/bulletin.php?id=1754041&amp;type=1", "奋达科技:首次公开发行股票招股意向书摘要")</f>
        <v>奋达科技:首次公开发行股票招股意向书摘要</v>
      </c>
    </row>
    <row r="605" spans="1:3" x14ac:dyDescent="0.15">
      <c r="A605" s="1">
        <v>41044</v>
      </c>
      <c r="B605" t="s">
        <v>119</v>
      </c>
      <c r="C605" s="2" t="str">
        <f>HYPERLINK("http://snap.windin.com/ns/bulletin.php?id=1706098&amp;type=1", "中国汽研:首次公开发行股票招股意向书摘要")</f>
        <v>中国汽研:首次公开发行股票招股意向书摘要</v>
      </c>
    </row>
    <row r="606" spans="1:3" x14ac:dyDescent="0.15">
      <c r="A606" s="1">
        <v>41044</v>
      </c>
      <c r="B606" t="s">
        <v>122</v>
      </c>
      <c r="C606" s="2" t="str">
        <f>HYPERLINK("http://snap.windin.com/ns/bulletin.php?id=1697855&amp;type=1", "奋达科技:首次公开发行股票招股意向书")</f>
        <v>奋达科技:首次公开发行股票招股意向书</v>
      </c>
    </row>
    <row r="607" spans="1:3" x14ac:dyDescent="0.15">
      <c r="A607" s="1">
        <v>41044</v>
      </c>
      <c r="B607" t="s">
        <v>119</v>
      </c>
      <c r="C607" s="2" t="str">
        <f>HYPERLINK("http://snap.windin.com/ns/bulletin.php?id=1577543&amp;type=1", "中国汽研:首次公开发行股票招股意向书")</f>
        <v>中国汽研:首次公开发行股票招股意向书</v>
      </c>
    </row>
    <row r="608" spans="1:3" x14ac:dyDescent="0.15">
      <c r="A608" s="1">
        <v>41044</v>
      </c>
      <c r="B608" t="s">
        <v>119</v>
      </c>
      <c r="C608" s="2" t="str">
        <f>HYPERLINK("http://snap.windin.com/ns/bulletin.php?id=947064&amp;type=1", "中国汽研:首次公开发行股票招股意向书附录一")</f>
        <v>中国汽研:首次公开发行股票招股意向书附录一</v>
      </c>
    </row>
    <row r="609" spans="1:3" x14ac:dyDescent="0.15">
      <c r="A609" s="1">
        <v>41044</v>
      </c>
      <c r="B609" t="s">
        <v>119</v>
      </c>
      <c r="C609" s="2" t="str">
        <f>HYPERLINK("http://snap.windin.com/ns/bulletin.php?id=779283&amp;type=1", "中国汽研:首次公开发行股票招股意向书附录二")</f>
        <v>中国汽研:首次公开发行股票招股意向书附录二</v>
      </c>
    </row>
    <row r="610" spans="1:3" x14ac:dyDescent="0.15">
      <c r="A610" s="1">
        <v>41044</v>
      </c>
      <c r="B610" t="s">
        <v>119</v>
      </c>
      <c r="C610" s="2" t="str">
        <f>HYPERLINK("http://snap.windin.com/ns/bulletin.php?id=230537&amp;type=1", "中国汽研:首次公开发行股票招股意向书附录三")</f>
        <v>中国汽研:首次公开发行股票招股意向书附录三</v>
      </c>
    </row>
    <row r="611" spans="1:3" x14ac:dyDescent="0.15">
      <c r="A611" s="1">
        <v>41043</v>
      </c>
      <c r="B611" t="s">
        <v>120</v>
      </c>
      <c r="C611" s="2" t="str">
        <f>HYPERLINK("http://snap.windin.com/ns/bulletin.php?id=1825200&amp;type=1", "旋极信息:首次公开发行股票并在创业板上市招股意向书")</f>
        <v>旋极信息:首次公开发行股票并在创业板上市招股意向书</v>
      </c>
    </row>
    <row r="612" spans="1:3" x14ac:dyDescent="0.15">
      <c r="A612" s="1">
        <v>41043</v>
      </c>
      <c r="B612" t="s">
        <v>130</v>
      </c>
      <c r="C612" s="2" t="str">
        <f>HYPERLINK("http://snap.windin.com/ns/bulletin.php?id=1557557&amp;type=1", "东诚生化:首次公开发行股票并上市招股说明书")</f>
        <v>东诚生化:首次公开发行股票并上市招股说明书</v>
      </c>
    </row>
    <row r="613" spans="1:3" x14ac:dyDescent="0.15">
      <c r="A613" s="1">
        <v>41043</v>
      </c>
      <c r="B613" t="s">
        <v>126</v>
      </c>
      <c r="C613" s="2" t="str">
        <f>HYPERLINK("http://snap.windin.com/ns/bulletin.php?id=1321341&amp;type=1", "德威新材:首次公开发行股票并在创业板上市招股意向书")</f>
        <v>德威新材:首次公开发行股票并在创业板上市招股意向书</v>
      </c>
    </row>
    <row r="614" spans="1:3" x14ac:dyDescent="0.15">
      <c r="A614" s="1">
        <v>41043</v>
      </c>
      <c r="B614" t="s">
        <v>133</v>
      </c>
      <c r="C614" s="2" t="str">
        <f>HYPERLINK("http://snap.windin.com/ns/bulletin.php?id=1262754&amp;type=1", "博晖创新:首次公开发行股票并在创业板上市招股说明书")</f>
        <v>博晖创新:首次公开发行股票并在创业板上市招股说明书</v>
      </c>
    </row>
    <row r="615" spans="1:3" x14ac:dyDescent="0.15">
      <c r="A615" s="1">
        <v>41043</v>
      </c>
      <c r="B615" t="s">
        <v>134</v>
      </c>
      <c r="C615" s="2" t="str">
        <f>HYPERLINK("http://snap.windin.com/ns/bulletin.php?id=885978&amp;type=1", "麦捷科技:首次公开发行股票并在创业板上市招股说明书")</f>
        <v>麦捷科技:首次公开发行股票并在创业板上市招股说明书</v>
      </c>
    </row>
    <row r="616" spans="1:3" x14ac:dyDescent="0.15">
      <c r="A616" s="1">
        <v>41043</v>
      </c>
      <c r="B616" t="s">
        <v>131</v>
      </c>
      <c r="C616" s="2" t="str">
        <f>HYPERLINK("http://snap.windin.com/ns/bulletin.php?id=829065&amp;type=1", "顺威股份:首次公开发行股票招股说明书")</f>
        <v>顺威股份:首次公开发行股票招股说明书</v>
      </c>
    </row>
    <row r="617" spans="1:3" x14ac:dyDescent="0.15">
      <c r="A617" s="1">
        <v>41043</v>
      </c>
      <c r="B617" t="s">
        <v>131</v>
      </c>
      <c r="C617" s="2" t="str">
        <f>HYPERLINK("http://snap.windin.com/ns/bulletin.php?id=589673&amp;type=1", "顺威股份:首次公开发行股票招股说明书摘要")</f>
        <v>顺威股份:首次公开发行股票招股说明书摘要</v>
      </c>
    </row>
    <row r="618" spans="1:3" x14ac:dyDescent="0.15">
      <c r="A618" s="1">
        <v>41043</v>
      </c>
      <c r="B618" t="s">
        <v>130</v>
      </c>
      <c r="C618" s="2" t="str">
        <f>HYPERLINK("http://snap.windin.com/ns/bulletin.php?id=119135&amp;type=1", "东诚生化:首次公开发行股票并上市招股说明书摘要")</f>
        <v>东诚生化:首次公开发行股票并上市招股说明书摘要</v>
      </c>
    </row>
    <row r="619" spans="1:3" x14ac:dyDescent="0.15">
      <c r="A619" s="1">
        <v>41040</v>
      </c>
      <c r="B619" t="s">
        <v>132</v>
      </c>
      <c r="C619" s="2" t="str">
        <f>HYPERLINK("http://snap.windin.com/ns/bulletin.php?id=1712186&amp;type=1", "浙江美大:首次公开发行股票招股说明书")</f>
        <v>浙江美大:首次公开发行股票招股说明书</v>
      </c>
    </row>
    <row r="620" spans="1:3" x14ac:dyDescent="0.15">
      <c r="A620" s="1">
        <v>41040</v>
      </c>
      <c r="B620" t="s">
        <v>124</v>
      </c>
      <c r="C620" s="2" t="str">
        <f>HYPERLINK("http://snap.windin.com/ns/bulletin.php?id=1117410&amp;type=1", "福建金森:首次公开发行股票招股意向书摘要")</f>
        <v>福建金森:首次公开发行股票招股意向书摘要</v>
      </c>
    </row>
    <row r="621" spans="1:3" x14ac:dyDescent="0.15">
      <c r="A621" s="1">
        <v>41040</v>
      </c>
      <c r="B621" t="s">
        <v>128</v>
      </c>
      <c r="C621" s="2" t="str">
        <f>HYPERLINK("http://snap.windin.com/ns/bulletin.php?id=1015760&amp;type=1", "珠江钢琴:首次公开发行股票招股意向书")</f>
        <v>珠江钢琴:首次公开发行股票招股意向书</v>
      </c>
    </row>
    <row r="622" spans="1:3" x14ac:dyDescent="0.15">
      <c r="A622" s="1">
        <v>41040</v>
      </c>
      <c r="B622" t="s">
        <v>135</v>
      </c>
      <c r="C622" s="2" t="str">
        <f>HYPERLINK("http://snap.windin.com/ns/bulletin.php?id=950969&amp;type=1", "同大股份:首次公开发行股票并在创业板上市招股说明书")</f>
        <v>同大股份:首次公开发行股票并在创业板上市招股说明书</v>
      </c>
    </row>
    <row r="623" spans="1:3" x14ac:dyDescent="0.15">
      <c r="A623" s="1">
        <v>41040</v>
      </c>
      <c r="B623" t="s">
        <v>128</v>
      </c>
      <c r="C623" s="2" t="str">
        <f>HYPERLINK("http://snap.windin.com/ns/bulletin.php?id=912617&amp;type=1", "珠江钢琴:首次公开发行股票招股意向书摘要")</f>
        <v>珠江钢琴:首次公开发行股票招股意向书摘要</v>
      </c>
    </row>
    <row r="624" spans="1:3" x14ac:dyDescent="0.15">
      <c r="A624" s="1">
        <v>41040</v>
      </c>
      <c r="B624" t="s">
        <v>125</v>
      </c>
      <c r="C624" s="2" t="str">
        <f>HYPERLINK("http://snap.windin.com/ns/bulletin.php?id=873433&amp;type=1", "华灿光电:首次公开发行股票并在创业板上市招股意向书")</f>
        <v>华灿光电:首次公开发行股票并在创业板上市招股意向书</v>
      </c>
    </row>
    <row r="625" spans="1:3" x14ac:dyDescent="0.15">
      <c r="A625" s="1">
        <v>41040</v>
      </c>
      <c r="B625" t="s">
        <v>124</v>
      </c>
      <c r="C625" s="2" t="str">
        <f>HYPERLINK("http://snap.windin.com/ns/bulletin.php?id=769625&amp;type=1", "福建金森:首次公开发行股票招股意向书")</f>
        <v>福建金森:首次公开发行股票招股意向书</v>
      </c>
    </row>
    <row r="626" spans="1:3" x14ac:dyDescent="0.15">
      <c r="A626" s="1">
        <v>41040</v>
      </c>
      <c r="B626" t="s">
        <v>132</v>
      </c>
      <c r="C626" s="2" t="str">
        <f>HYPERLINK("http://snap.windin.com/ns/bulletin.php?id=537669&amp;type=1", "浙江美大:首次公开发行股票招股说明书摘要")</f>
        <v>浙江美大:首次公开发行股票招股说明书摘要</v>
      </c>
    </row>
    <row r="627" spans="1:3" x14ac:dyDescent="0.15">
      <c r="A627" s="1">
        <v>41039</v>
      </c>
      <c r="B627" t="s">
        <v>139</v>
      </c>
      <c r="C627" s="2" t="str">
        <f>HYPERLINK("http://snap.windin.com/ns/bulletin.php?id=1726583&amp;type=1", "珈伟股份:首次公开发行股票并在创业板上市公告书提示公告")</f>
        <v>珈伟股份:首次公开发行股票并在创业板上市公告书提示公告</v>
      </c>
    </row>
    <row r="628" spans="1:3" x14ac:dyDescent="0.15">
      <c r="A628" s="1">
        <v>41039</v>
      </c>
      <c r="B628" t="s">
        <v>140</v>
      </c>
      <c r="C628" s="2" t="str">
        <f>HYPERLINK("http://snap.windin.com/ns/bulletin.php?id=1685455&amp;type=1", "掌趣科技:首次公开发行股票并在创业板上市公告书")</f>
        <v>掌趣科技:首次公开发行股票并在创业板上市公告书</v>
      </c>
    </row>
    <row r="629" spans="1:3" x14ac:dyDescent="0.15">
      <c r="A629" s="1">
        <v>41039</v>
      </c>
      <c r="B629" t="s">
        <v>139</v>
      </c>
      <c r="C629" s="2" t="str">
        <f>HYPERLINK("http://snap.windin.com/ns/bulletin.php?id=1540041&amp;type=1", "珈伟股份:首次公开发行股票并在创业板上市公告书")</f>
        <v>珈伟股份:首次公开发行股票并在创业板上市公告书</v>
      </c>
    </row>
    <row r="630" spans="1:3" x14ac:dyDescent="0.15">
      <c r="A630" s="1">
        <v>41039</v>
      </c>
      <c r="B630" t="s">
        <v>141</v>
      </c>
      <c r="C630" s="2" t="str">
        <f>HYPERLINK("http://snap.windin.com/ns/bulletin.php?id=1314590&amp;type=1", "晶盛机电:首次公开发行股票并在创业板上市上市公告书")</f>
        <v>晶盛机电:首次公开发行股票并在创业板上市上市公告书</v>
      </c>
    </row>
    <row r="631" spans="1:3" x14ac:dyDescent="0.15">
      <c r="A631" s="1">
        <v>41039</v>
      </c>
      <c r="B631" t="s">
        <v>140</v>
      </c>
      <c r="C631" s="2" t="str">
        <f>HYPERLINK("http://snap.windin.com/ns/bulletin.php?id=1238050&amp;type=1", "掌趣科技:首次公开发行股票并在创业板上市上市公告书提示性公告")</f>
        <v>掌趣科技:首次公开发行股票并在创业板上市上市公告书提示性公告</v>
      </c>
    </row>
    <row r="632" spans="1:3" x14ac:dyDescent="0.15">
      <c r="A632" s="1">
        <v>41037</v>
      </c>
      <c r="B632" t="s">
        <v>129</v>
      </c>
      <c r="C632" s="2" t="str">
        <f>HYPERLINK("http://snap.windin.com/ns/bulletin.php?id=2023507&amp;type=1", "华贸物流:首次公开发行股票招股意向书")</f>
        <v>华贸物流:首次公开发行股票招股意向书</v>
      </c>
    </row>
    <row r="633" spans="1:3" x14ac:dyDescent="0.15">
      <c r="A633" s="1">
        <v>41037</v>
      </c>
      <c r="B633" t="s">
        <v>129</v>
      </c>
      <c r="C633" s="2" t="str">
        <f>HYPERLINK("http://snap.windin.com/ns/bulletin.php?id=2008389&amp;type=1", "华贸物流:首次公开发行股票招股意向书附录一")</f>
        <v>华贸物流:首次公开发行股票招股意向书附录一</v>
      </c>
    </row>
    <row r="634" spans="1:3" x14ac:dyDescent="0.15">
      <c r="A634" s="1">
        <v>41037</v>
      </c>
      <c r="B634" t="s">
        <v>129</v>
      </c>
      <c r="C634" s="2" t="str">
        <f>HYPERLINK("http://snap.windin.com/ns/bulletin.php?id=1731350&amp;type=1", "华贸物流:首次公开发行股票招股意向书附录二")</f>
        <v>华贸物流:首次公开发行股票招股意向书附录二</v>
      </c>
    </row>
    <row r="635" spans="1:3" x14ac:dyDescent="0.15">
      <c r="A635" s="1">
        <v>41037</v>
      </c>
      <c r="B635" t="s">
        <v>129</v>
      </c>
      <c r="C635" s="2" t="str">
        <f>HYPERLINK("http://snap.windin.com/ns/bulletin.php?id=1238052&amp;type=1", "华贸物流:首次公开发行股票招股意向书附录三")</f>
        <v>华贸物流:首次公开发行股票招股意向书附录三</v>
      </c>
    </row>
    <row r="636" spans="1:3" x14ac:dyDescent="0.15">
      <c r="A636" s="1">
        <v>41037</v>
      </c>
      <c r="B636" t="s">
        <v>129</v>
      </c>
      <c r="C636" s="2" t="str">
        <f>HYPERLINK("http://snap.windin.com/ns/bulletin.php?id=89613&amp;type=1", "华贸物流:首次公开发行股票招股意向书摘要")</f>
        <v>华贸物流:首次公开发行股票招股意向书摘要</v>
      </c>
    </row>
    <row r="637" spans="1:3" x14ac:dyDescent="0.15">
      <c r="A637" s="1">
        <v>41036</v>
      </c>
      <c r="B637" t="s">
        <v>142</v>
      </c>
      <c r="C637" s="2" t="str">
        <f>HYPERLINK("http://snap.windin.com/ns/bulletin.php?id=1558468&amp;type=1", "戴维医疗:首次公开发行股票上市公告书")</f>
        <v>戴维医疗:首次公开发行股票上市公告书</v>
      </c>
    </row>
    <row r="638" spans="1:3" x14ac:dyDescent="0.15">
      <c r="A638" s="1">
        <v>41036</v>
      </c>
      <c r="B638" t="s">
        <v>143</v>
      </c>
      <c r="C638" s="2" t="str">
        <f>HYPERLINK("http://snap.windin.com/ns/bulletin.php?id=786236&amp;type=1", "邦讯技术:首次公开发行股票并在创业板上市上市公告书提示性公告")</f>
        <v>邦讯技术:首次公开发行股票并在创业板上市上市公告书提示性公告</v>
      </c>
    </row>
    <row r="639" spans="1:3" x14ac:dyDescent="0.15">
      <c r="A639" s="1">
        <v>41036</v>
      </c>
      <c r="B639" t="s">
        <v>143</v>
      </c>
      <c r="C639" s="2" t="str">
        <f>HYPERLINK("http://snap.windin.com/ns/bulletin.php?id=597665&amp;type=1", "邦讯技术:首次公开发行股票并在创业板上市上市公告书")</f>
        <v>邦讯技术:首次公开发行股票并在创业板上市上市公告书</v>
      </c>
    </row>
    <row r="640" spans="1:3" x14ac:dyDescent="0.15">
      <c r="A640" s="1">
        <v>41036</v>
      </c>
      <c r="B640" t="s">
        <v>142</v>
      </c>
      <c r="C640" s="2" t="str">
        <f>HYPERLINK("http://snap.windin.com/ns/bulletin.php?id=405704&amp;type=1", "戴维医疗:首次公开发行股票并在创业板上市公告书提示性公告")</f>
        <v>戴维医疗:首次公开发行股票并在创业板上市公告书提示性公告</v>
      </c>
    </row>
    <row r="641" spans="1:3" x14ac:dyDescent="0.15">
      <c r="A641" s="1">
        <v>41033</v>
      </c>
      <c r="B641" t="s">
        <v>131</v>
      </c>
      <c r="C641" s="2" t="str">
        <f>HYPERLINK("http://snap.windin.com/ns/bulletin.php?id=2126810&amp;type=1", "顺威股份:首次公开发行股票招股意向书摘要")</f>
        <v>顺威股份:首次公开发行股票招股意向书摘要</v>
      </c>
    </row>
    <row r="642" spans="1:3" x14ac:dyDescent="0.15">
      <c r="A642" s="1">
        <v>41033</v>
      </c>
      <c r="B642" t="s">
        <v>131</v>
      </c>
      <c r="C642" s="2" t="str">
        <f>HYPERLINK("http://snap.windin.com/ns/bulletin.php?id=1950050&amp;type=1", "顺威股份:首次公开发行股票招股意向书")</f>
        <v>顺威股份:首次公开发行股票招股意向书</v>
      </c>
    </row>
    <row r="643" spans="1:3" x14ac:dyDescent="0.15">
      <c r="A643" s="1">
        <v>41033</v>
      </c>
      <c r="B643" t="s">
        <v>144</v>
      </c>
      <c r="C643" s="2" t="str">
        <f>HYPERLINK("http://snap.windin.com/ns/bulletin.php?id=859228&amp;type=1", "明星电缆:首次公开发行股票招股说明书")</f>
        <v>明星电缆:首次公开发行股票招股说明书</v>
      </c>
    </row>
    <row r="644" spans="1:3" x14ac:dyDescent="0.15">
      <c r="A644" s="1">
        <v>41033</v>
      </c>
      <c r="B644" t="s">
        <v>130</v>
      </c>
      <c r="C644" s="2" t="str">
        <f>HYPERLINK("http://snap.windin.com/ns/bulletin.php?id=596802&amp;type=1", "东诚生化:首次公开发行股票并上市招股意向书摘要")</f>
        <v>东诚生化:首次公开发行股票并上市招股意向书摘要</v>
      </c>
    </row>
    <row r="645" spans="1:3" x14ac:dyDescent="0.15">
      <c r="A645" s="1">
        <v>41033</v>
      </c>
      <c r="B645" t="s">
        <v>144</v>
      </c>
      <c r="C645" s="2" t="str">
        <f>HYPERLINK("http://snap.windin.com/ns/bulletin.php?id=566226&amp;type=1", "明星电缆:首次公开发行A股股票上市公告书")</f>
        <v>明星电缆:首次公开发行A股股票上市公告书</v>
      </c>
    </row>
    <row r="646" spans="1:3" x14ac:dyDescent="0.15">
      <c r="A646" s="1">
        <v>41033</v>
      </c>
      <c r="B646" t="s">
        <v>132</v>
      </c>
      <c r="C646" s="2" t="str">
        <f>HYPERLINK("http://snap.windin.com/ns/bulletin.php?id=553357&amp;type=1", "浙江美大:首次公开发行股票招股意向书摘要")</f>
        <v>浙江美大:首次公开发行股票招股意向书摘要</v>
      </c>
    </row>
    <row r="647" spans="1:3" x14ac:dyDescent="0.15">
      <c r="A647" s="1">
        <v>41033</v>
      </c>
      <c r="B647" t="s">
        <v>145</v>
      </c>
      <c r="C647" s="2" t="str">
        <f>HYPERLINK("http://snap.windin.com/ns/bulletin.php?id=448454&amp;type=1", "兴业科技:首次公开发行股票上市公告书")</f>
        <v>兴业科技:首次公开发行股票上市公告书</v>
      </c>
    </row>
    <row r="648" spans="1:3" x14ac:dyDescent="0.15">
      <c r="A648" s="1">
        <v>41033</v>
      </c>
      <c r="B648" t="s">
        <v>132</v>
      </c>
      <c r="C648" s="2" t="str">
        <f>HYPERLINK("http://snap.windin.com/ns/bulletin.php?id=445462&amp;type=1", "浙江美大:首次公开发行股票招股意向书")</f>
        <v>浙江美大:首次公开发行股票招股意向书</v>
      </c>
    </row>
    <row r="649" spans="1:3" x14ac:dyDescent="0.15">
      <c r="A649" s="1">
        <v>41033</v>
      </c>
      <c r="B649" t="s">
        <v>130</v>
      </c>
      <c r="C649" s="2" t="str">
        <f>HYPERLINK("http://snap.windin.com/ns/bulletin.php?id=417111&amp;type=1", "东诚生化:首次公开发行股票并上市招股意向书")</f>
        <v>东诚生化:首次公开发行股票并上市招股意向书</v>
      </c>
    </row>
    <row r="650" spans="1:3" x14ac:dyDescent="0.15">
      <c r="A650" s="1">
        <v>41031</v>
      </c>
      <c r="B650" t="s">
        <v>134</v>
      </c>
      <c r="C650" s="2" t="str">
        <f>HYPERLINK("http://snap.windin.com/ns/bulletin.php?id=2122611&amp;type=1", "麦捷科技:首次公开发行股票并在创业板上市招股意向书")</f>
        <v>麦捷科技:首次公开发行股票并在创业板上市招股意向书</v>
      </c>
    </row>
    <row r="651" spans="1:3" x14ac:dyDescent="0.15">
      <c r="A651" s="1">
        <v>41031</v>
      </c>
      <c r="B651" t="s">
        <v>146</v>
      </c>
      <c r="C651" s="2" t="str">
        <f>HYPERLINK("http://snap.windin.com/ns/bulletin.php?id=1745348&amp;type=1", "翠微股份:首次公开发行A股股票上市公告书")</f>
        <v>翠微股份:首次公开发行A股股票上市公告书</v>
      </c>
    </row>
    <row r="652" spans="1:3" x14ac:dyDescent="0.15">
      <c r="A652" s="1">
        <v>41031</v>
      </c>
      <c r="B652" t="s">
        <v>146</v>
      </c>
      <c r="C652" s="2" t="str">
        <f>HYPERLINK("http://snap.windin.com/ns/bulletin.php?id=1246786&amp;type=1", "翠微股份:首次公开发行股票招股说明书")</f>
        <v>翠微股份:首次公开发行股票招股说明书</v>
      </c>
    </row>
    <row r="653" spans="1:3" x14ac:dyDescent="0.15">
      <c r="A653" s="1">
        <v>41031</v>
      </c>
      <c r="B653" t="s">
        <v>135</v>
      </c>
      <c r="C653" s="2" t="str">
        <f>HYPERLINK("http://snap.windin.com/ns/bulletin.php?id=1130120&amp;type=1", "同大股份:首次公开发行股票并在创业板上市招股意向书")</f>
        <v>同大股份:首次公开发行股票并在创业板上市招股意向书</v>
      </c>
    </row>
    <row r="654" spans="1:3" x14ac:dyDescent="0.15">
      <c r="A654" s="1">
        <v>41031</v>
      </c>
      <c r="B654" t="s">
        <v>139</v>
      </c>
      <c r="C654" s="2" t="str">
        <f>HYPERLINK("http://snap.windin.com/ns/bulletin.php?id=825182&amp;type=1", "珈伟股份:首次公开发行股票并在创业板上市招股说明书")</f>
        <v>珈伟股份:首次公开发行股票并在创业板上市招股说明书</v>
      </c>
    </row>
    <row r="655" spans="1:3" x14ac:dyDescent="0.15">
      <c r="A655" s="1">
        <v>41031</v>
      </c>
      <c r="B655" t="s">
        <v>147</v>
      </c>
      <c r="C655" s="2" t="str">
        <f>HYPERLINK("http://snap.windin.com/ns/bulletin.php?id=686279&amp;type=1", "西部证券:首次公开发行股票上市公告书")</f>
        <v>西部证券:首次公开发行股票上市公告书</v>
      </c>
    </row>
    <row r="656" spans="1:3" x14ac:dyDescent="0.15">
      <c r="A656" s="1">
        <v>41026</v>
      </c>
      <c r="B656" t="s">
        <v>127</v>
      </c>
      <c r="C656" s="2" t="str">
        <f>HYPERLINK("http://snap.windin.com/ns/bulletin.php?id=1846756&amp;type=1", "海达股份:首次公开发行股票并在创业板上市招股意向书")</f>
        <v>海达股份:首次公开发行股票并在创业板上市招股意向书</v>
      </c>
    </row>
    <row r="657" spans="1:3" x14ac:dyDescent="0.15">
      <c r="A657" s="1">
        <v>41026</v>
      </c>
      <c r="B657" t="s">
        <v>140</v>
      </c>
      <c r="C657" s="2" t="str">
        <f>HYPERLINK("http://snap.windin.com/ns/bulletin.php?id=1461048&amp;type=1", "掌趣科技:首次公开发行股票并在创业板上市招股说明书")</f>
        <v>掌趣科技:首次公开发行股票并在创业板上市招股说明书</v>
      </c>
    </row>
    <row r="658" spans="1:3" x14ac:dyDescent="0.15">
      <c r="A658" s="1">
        <v>41026</v>
      </c>
      <c r="B658" t="s">
        <v>141</v>
      </c>
      <c r="C658" s="2" t="str">
        <f>HYPERLINK("http://snap.windin.com/ns/bulletin.php?id=1237230&amp;type=1", "晶盛机电:首次公开发行股票并在创业板上市招股说明书")</f>
        <v>晶盛机电:首次公开发行股票并在创业板上市招股说明书</v>
      </c>
    </row>
    <row r="659" spans="1:3" x14ac:dyDescent="0.15">
      <c r="A659" s="1">
        <v>41026</v>
      </c>
      <c r="B659" t="s">
        <v>133</v>
      </c>
      <c r="C659" s="2" t="str">
        <f>HYPERLINK("http://snap.windin.com/ns/bulletin.php?id=172409&amp;type=1", "博晖创新:首次公开发行股票并在创业板上市招股意向书")</f>
        <v>博晖创新:首次公开发行股票并在创业板上市招股意向书</v>
      </c>
    </row>
    <row r="660" spans="1:3" x14ac:dyDescent="0.15">
      <c r="A660" s="1">
        <v>41025</v>
      </c>
      <c r="B660" t="s">
        <v>148</v>
      </c>
      <c r="C660" s="2" t="str">
        <f>HYPERLINK("http://snap.windin.com/ns/bulletin.php?id=1621306&amp;type=1", "N东江:首次公开发行股票上市公告书（更新后）")</f>
        <v>N东江:首次公开发行股票上市公告书（更新后）</v>
      </c>
    </row>
    <row r="661" spans="1:3" x14ac:dyDescent="0.15">
      <c r="A661" s="1">
        <v>41025</v>
      </c>
      <c r="B661" t="s">
        <v>149</v>
      </c>
      <c r="C661" s="2" t="str">
        <f>HYPERLINK("http://snap.windin.com/ns/bulletin.php?id=1261651&amp;type=1", "人民网:首次公开发行股票招股说明书")</f>
        <v>人民网:首次公开发行股票招股说明书</v>
      </c>
    </row>
    <row r="662" spans="1:3" x14ac:dyDescent="0.15">
      <c r="A662" s="1">
        <v>41025</v>
      </c>
      <c r="B662" t="s">
        <v>149</v>
      </c>
      <c r="C662" s="2" t="str">
        <f>HYPERLINK("http://snap.windin.com/ns/bulletin.php?id=1257592&amp;type=1", "人民网:首次公开发行A股股票上市公告书")</f>
        <v>人民网:首次公开发行A股股票上市公告书</v>
      </c>
    </row>
    <row r="663" spans="1:3" x14ac:dyDescent="0.15">
      <c r="A663" s="1">
        <v>41025</v>
      </c>
      <c r="B663" t="s">
        <v>148</v>
      </c>
      <c r="C663" s="2" t="str">
        <f>HYPERLINK("http://snap.windin.com/ns/bulletin.php?id=770532&amp;type=1", "N东江:关于《首次公开发行股票上市公告书》之更正公告")</f>
        <v>N东江:关于《首次公开发行股票上市公告书》之更正公告</v>
      </c>
    </row>
    <row r="664" spans="1:3" x14ac:dyDescent="0.15">
      <c r="A664" s="1">
        <v>41024</v>
      </c>
      <c r="B664" t="s">
        <v>150</v>
      </c>
      <c r="C664" s="2" t="str">
        <f>HYPERLINK("http://snap.windin.com/ns/bulletin.php?id=1545908&amp;type=1", "龙泉股份:首次公开发行股票上市公告书")</f>
        <v>龙泉股份:首次公开发行股票上市公告书</v>
      </c>
    </row>
    <row r="665" spans="1:3" x14ac:dyDescent="0.15">
      <c r="A665" s="1">
        <v>41024</v>
      </c>
      <c r="B665" t="s">
        <v>151</v>
      </c>
      <c r="C665" s="2" t="str">
        <f>HYPERLINK("http://snap.windin.com/ns/bulletin.php?id=810903&amp;type=1", "奥康国际:首次公开发行股票招股说明书")</f>
        <v>奥康国际:首次公开发行股票招股说明书</v>
      </c>
    </row>
    <row r="666" spans="1:3" x14ac:dyDescent="0.15">
      <c r="A666" s="1">
        <v>41024</v>
      </c>
      <c r="B666" t="s">
        <v>148</v>
      </c>
      <c r="C666" s="2" t="str">
        <f>HYPERLINK("http://snap.windin.com/ns/bulletin.php?id=658585&amp;type=1", "东江环保:首次公开发行股票上市公告书")</f>
        <v>东江环保:首次公开发行股票上市公告书</v>
      </c>
    </row>
    <row r="667" spans="1:3" x14ac:dyDescent="0.15">
      <c r="A667" s="1">
        <v>41024</v>
      </c>
      <c r="B667" t="s">
        <v>151</v>
      </c>
      <c r="C667" s="2" t="str">
        <f>HYPERLINK("http://snap.windin.com/ns/bulletin.php?id=638187&amp;type=1", "奥康国际:首次公开发行股票上市公告书")</f>
        <v>奥康国际:首次公开发行股票上市公告书</v>
      </c>
    </row>
    <row r="668" spans="1:3" x14ac:dyDescent="0.15">
      <c r="A668" s="1">
        <v>41023</v>
      </c>
      <c r="B668" t="s">
        <v>138</v>
      </c>
      <c r="C668" s="2" t="str">
        <f>HYPERLINK("http://snap.windin.com/ns/bulletin.php?id=2116741&amp;type=1", "宏昌电子:首次公开发行股票招股意向书")</f>
        <v>宏昌电子:首次公开发行股票招股意向书</v>
      </c>
    </row>
    <row r="669" spans="1:3" x14ac:dyDescent="0.15">
      <c r="A669" s="1">
        <v>41023</v>
      </c>
      <c r="B669" t="s">
        <v>145</v>
      </c>
      <c r="C669" s="2" t="str">
        <f>HYPERLINK("http://snap.windin.com/ns/bulletin.php?id=1978912&amp;type=1", "兴业科技:首次公开发行股票招股说明书")</f>
        <v>兴业科技:首次公开发行股票招股说明书</v>
      </c>
    </row>
    <row r="670" spans="1:3" x14ac:dyDescent="0.15">
      <c r="A670" s="1">
        <v>41023</v>
      </c>
      <c r="B670" t="s">
        <v>138</v>
      </c>
      <c r="C670" s="2" t="str">
        <f>HYPERLINK("http://snap.windin.com/ns/bulletin.php?id=1646327&amp;type=1", "宏昌电子:首次公开发行股票招股意向书附录四")</f>
        <v>宏昌电子:首次公开发行股票招股意向书附录四</v>
      </c>
    </row>
    <row r="671" spans="1:3" x14ac:dyDescent="0.15">
      <c r="A671" s="1">
        <v>41023</v>
      </c>
      <c r="B671" t="s">
        <v>152</v>
      </c>
      <c r="C671" s="2" t="str">
        <f>HYPERLINK("http://snap.windin.com/ns/bulletin.php?id=1645386&amp;type=1", "任子行:首次公开发行股票并在创业板上市上市公告书提示性公告")</f>
        <v>任子行:首次公开发行股票并在创业板上市上市公告书提示性公告</v>
      </c>
    </row>
    <row r="672" spans="1:3" x14ac:dyDescent="0.15">
      <c r="A672" s="1">
        <v>41023</v>
      </c>
      <c r="B672" t="s">
        <v>152</v>
      </c>
      <c r="C672" s="2" t="str">
        <f>HYPERLINK("http://snap.windin.com/ns/bulletin.php?id=1481370&amp;type=1", "任子行:首次公开发行股票并在创业板上市上市公告书")</f>
        <v>任子行:首次公开发行股票并在创业板上市上市公告书</v>
      </c>
    </row>
    <row r="673" spans="1:3" x14ac:dyDescent="0.15">
      <c r="A673" s="1">
        <v>41023</v>
      </c>
      <c r="B673" t="s">
        <v>137</v>
      </c>
      <c r="C673" s="2" t="str">
        <f>HYPERLINK("http://snap.windin.com/ns/bulletin.php?id=1469354&amp;type=1", "日出东方:首次公开发行股票招股意向书附录三")</f>
        <v>日出东方:首次公开发行股票招股意向书附录三</v>
      </c>
    </row>
    <row r="674" spans="1:3" x14ac:dyDescent="0.15">
      <c r="A674" s="1">
        <v>41023</v>
      </c>
      <c r="B674" t="s">
        <v>143</v>
      </c>
      <c r="C674" s="2" t="str">
        <f>HYPERLINK("http://snap.windin.com/ns/bulletin.php?id=1411800&amp;type=1", "邦讯技术:首次公开发行股票并在创业板上市招股说明书")</f>
        <v>邦讯技术:首次公开发行股票并在创业板上市招股说明书</v>
      </c>
    </row>
    <row r="675" spans="1:3" x14ac:dyDescent="0.15">
      <c r="A675" s="1">
        <v>41023</v>
      </c>
      <c r="B675" t="s">
        <v>153</v>
      </c>
      <c r="C675" s="2" t="str">
        <f>HYPERLINK("http://snap.windin.com/ns/bulletin.php?id=1390051&amp;type=1", "天山生物:首次公开发行股票并在创业板上市公告书提示性公告")</f>
        <v>天山生物:首次公开发行股票并在创业板上市公告书提示性公告</v>
      </c>
    </row>
    <row r="676" spans="1:3" x14ac:dyDescent="0.15">
      <c r="A676" s="1">
        <v>41023</v>
      </c>
      <c r="B676" t="s">
        <v>138</v>
      </c>
      <c r="C676" s="2" t="str">
        <f>HYPERLINK("http://snap.windin.com/ns/bulletin.php?id=1324011&amp;type=1", "宏昌电子:首次公开发行股票招股意向书附录二")</f>
        <v>宏昌电子:首次公开发行股票招股意向书附录二</v>
      </c>
    </row>
    <row r="677" spans="1:3" x14ac:dyDescent="0.15">
      <c r="A677" s="1">
        <v>41023</v>
      </c>
      <c r="B677" t="s">
        <v>137</v>
      </c>
      <c r="C677" s="2" t="str">
        <f>HYPERLINK("http://snap.windin.com/ns/bulletin.php?id=1256841&amp;type=1", "日出东方:首次公开发行股票招股意向书摘要")</f>
        <v>日出东方:首次公开发行股票招股意向书摘要</v>
      </c>
    </row>
    <row r="678" spans="1:3" x14ac:dyDescent="0.15">
      <c r="A678" s="1">
        <v>41023</v>
      </c>
      <c r="B678" t="s">
        <v>154</v>
      </c>
      <c r="C678" s="2" t="str">
        <f>HYPERLINK("http://snap.windin.com/ns/bulletin.php?id=1241947&amp;type=1", "宜通世纪:首次公开发行股票并在创业板上市上市公告书提示公告")</f>
        <v>宜通世纪:首次公开发行股票并在创业板上市上市公告书提示公告</v>
      </c>
    </row>
    <row r="679" spans="1:3" x14ac:dyDescent="0.15">
      <c r="A679" s="1">
        <v>41023</v>
      </c>
      <c r="B679" t="s">
        <v>137</v>
      </c>
      <c r="C679" s="2" t="str">
        <f>HYPERLINK("http://snap.windin.com/ns/bulletin.php?id=1123827&amp;type=1", "日出东方:首次公开发行股票招股意向书附录一")</f>
        <v>日出东方:首次公开发行股票招股意向书附录一</v>
      </c>
    </row>
    <row r="680" spans="1:3" x14ac:dyDescent="0.15">
      <c r="A680" s="1">
        <v>41023</v>
      </c>
      <c r="B680" t="s">
        <v>145</v>
      </c>
      <c r="C680" s="2" t="str">
        <f>HYPERLINK("http://snap.windin.com/ns/bulletin.php?id=956285&amp;type=1", "兴业科技:首次公开发行股票招股说明书摘要")</f>
        <v>兴业科技:首次公开发行股票招股说明书摘要</v>
      </c>
    </row>
    <row r="681" spans="1:3" x14ac:dyDescent="0.15">
      <c r="A681" s="1">
        <v>41023</v>
      </c>
      <c r="B681" t="s">
        <v>153</v>
      </c>
      <c r="C681" s="2" t="str">
        <f>HYPERLINK("http://snap.windin.com/ns/bulletin.php?id=898337&amp;type=1", "天山生物:首次公开发行股票并在创业板上市上市公告书")</f>
        <v>天山生物:首次公开发行股票并在创业板上市上市公告书</v>
      </c>
    </row>
    <row r="682" spans="1:3" x14ac:dyDescent="0.15">
      <c r="A682" s="1">
        <v>41023</v>
      </c>
      <c r="B682" t="s">
        <v>137</v>
      </c>
      <c r="C682" s="2" t="str">
        <f>HYPERLINK("http://snap.windin.com/ns/bulletin.php?id=827302&amp;type=1", "日出东方:首次公开发行股票招股意向书附录二")</f>
        <v>日出东方:首次公开发行股票招股意向书附录二</v>
      </c>
    </row>
    <row r="683" spans="1:3" x14ac:dyDescent="0.15">
      <c r="A683" s="1">
        <v>41023</v>
      </c>
      <c r="B683" t="s">
        <v>137</v>
      </c>
      <c r="C683" s="2" t="str">
        <f>HYPERLINK("http://snap.windin.com/ns/bulletin.php?id=772982&amp;type=1", "日出东方:首次公开发行股票招股意向书")</f>
        <v>日出东方:首次公开发行股票招股意向书</v>
      </c>
    </row>
    <row r="684" spans="1:3" x14ac:dyDescent="0.15">
      <c r="A684" s="1">
        <v>41023</v>
      </c>
      <c r="B684" t="s">
        <v>138</v>
      </c>
      <c r="C684" s="2" t="str">
        <f>HYPERLINK("http://snap.windin.com/ns/bulletin.php?id=583662&amp;type=1", "宏昌电子:首次公开发行股票招股意向书附录三")</f>
        <v>宏昌电子:首次公开发行股票招股意向书附录三</v>
      </c>
    </row>
    <row r="685" spans="1:3" x14ac:dyDescent="0.15">
      <c r="A685" s="1">
        <v>41023</v>
      </c>
      <c r="B685" t="s">
        <v>154</v>
      </c>
      <c r="C685" s="2" t="str">
        <f>HYPERLINK("http://snap.windin.com/ns/bulletin.php?id=463765&amp;type=1", "宜通世纪:首次公开发行股票并在创业板上市公告书")</f>
        <v>宜通世纪:首次公开发行股票并在创业板上市公告书</v>
      </c>
    </row>
    <row r="686" spans="1:3" x14ac:dyDescent="0.15">
      <c r="A686" s="1">
        <v>41023</v>
      </c>
      <c r="B686" t="s">
        <v>138</v>
      </c>
      <c r="C686" s="2" t="str">
        <f>HYPERLINK("http://snap.windin.com/ns/bulletin.php?id=145325&amp;type=1", "宏昌电子:首次公开发行股票招股意向书摘要")</f>
        <v>宏昌电子:首次公开发行股票招股意向书摘要</v>
      </c>
    </row>
    <row r="687" spans="1:3" x14ac:dyDescent="0.15">
      <c r="A687" s="1">
        <v>41023</v>
      </c>
      <c r="B687" t="s">
        <v>138</v>
      </c>
      <c r="C687" s="2" t="str">
        <f>HYPERLINK("http://snap.windin.com/ns/bulletin.php?id=86856&amp;type=1", "宏昌电子:首次公开发行股票招股意向书附录一")</f>
        <v>宏昌电子:首次公开发行股票招股意向书附录一</v>
      </c>
    </row>
    <row r="688" spans="1:3" x14ac:dyDescent="0.15">
      <c r="A688" s="1">
        <v>41022</v>
      </c>
      <c r="B688" t="s">
        <v>142</v>
      </c>
      <c r="C688" s="2" t="str">
        <f>HYPERLINK("http://snap.windin.com/ns/bulletin.php?id=1668612&amp;type=1", "戴维医疗:首次公开发行股票并在创业板上市招股说明书")</f>
        <v>戴维医疗:首次公开发行股票并在创业板上市招股说明书</v>
      </c>
    </row>
    <row r="689" spans="1:3" x14ac:dyDescent="0.15">
      <c r="A689" s="1">
        <v>41019</v>
      </c>
      <c r="B689" t="s">
        <v>139</v>
      </c>
      <c r="C689" s="2" t="str">
        <f>HYPERLINK("http://snap.windin.com/ns/bulletin.php?id=1859166&amp;type=1", "珈伟股份:首次公开发行股票并在创业板上市招股意向书")</f>
        <v>珈伟股份:首次公开发行股票并在创业板上市招股意向书</v>
      </c>
    </row>
    <row r="690" spans="1:3" x14ac:dyDescent="0.15">
      <c r="A690" s="1">
        <v>41019</v>
      </c>
      <c r="B690" t="s">
        <v>140</v>
      </c>
      <c r="C690" s="2" t="str">
        <f>HYPERLINK("http://snap.windin.com/ns/bulletin.php?id=1856930&amp;type=1", "掌趣科技:首次公开发行股票并在创业板上市招股意向书")</f>
        <v>掌趣科技:首次公开发行股票并在创业板上市招股意向书</v>
      </c>
    </row>
    <row r="691" spans="1:3" x14ac:dyDescent="0.15">
      <c r="A691" s="1">
        <v>41019</v>
      </c>
      <c r="B691" t="s">
        <v>141</v>
      </c>
      <c r="C691" s="2" t="str">
        <f>HYPERLINK("http://snap.windin.com/ns/bulletin.php?id=1653201&amp;type=1", "晶盛机电:首次公开发行股票并在创业板上市招股意向书")</f>
        <v>晶盛机电:首次公开发行股票并在创业板上市招股意向书</v>
      </c>
    </row>
    <row r="692" spans="1:3" x14ac:dyDescent="0.15">
      <c r="A692" s="1">
        <v>41019</v>
      </c>
      <c r="B692" t="s">
        <v>155</v>
      </c>
      <c r="C692" s="2" t="str">
        <f>HYPERLINK("http://snap.windin.com/ns/bulletin.php?id=1566981&amp;type=1", "怡球资源:首次公开发行A股股票上市公告书")</f>
        <v>怡球资源:首次公开发行A股股票上市公告书</v>
      </c>
    </row>
    <row r="693" spans="1:3" x14ac:dyDescent="0.15">
      <c r="A693" s="1">
        <v>41019</v>
      </c>
      <c r="B693" t="s">
        <v>155</v>
      </c>
      <c r="C693" s="2" t="str">
        <f>HYPERLINK("http://snap.windin.com/ns/bulletin.php?id=793692&amp;type=1", "怡球资源:首次公开发行股票招股说明书")</f>
        <v>怡球资源:首次公开发行股票招股说明书</v>
      </c>
    </row>
    <row r="694" spans="1:3" x14ac:dyDescent="0.15">
      <c r="A694" s="1">
        <v>41019</v>
      </c>
      <c r="B694" t="s">
        <v>147</v>
      </c>
      <c r="C694" s="2" t="str">
        <f>HYPERLINK("http://snap.windin.com/ns/bulletin.php?id=721983&amp;type=1", "西部证券:首次公开发行股票招股说明书摘要")</f>
        <v>西部证券:首次公开发行股票招股说明书摘要</v>
      </c>
    </row>
    <row r="695" spans="1:3" x14ac:dyDescent="0.15">
      <c r="A695" s="1">
        <v>41019</v>
      </c>
      <c r="B695" t="s">
        <v>147</v>
      </c>
      <c r="C695" s="2" t="str">
        <f>HYPERLINK("http://snap.windin.com/ns/bulletin.php?id=98345&amp;type=1", "西部证券:首次公开发行股票招股说明书")</f>
        <v>西部证券:首次公开发行股票招股说明书</v>
      </c>
    </row>
    <row r="696" spans="1:3" x14ac:dyDescent="0.15">
      <c r="A696" s="1">
        <v>41017</v>
      </c>
      <c r="B696" t="s">
        <v>156</v>
      </c>
      <c r="C696" s="2" t="str">
        <f>HYPERLINK("http://snap.windin.com/ns/bulletin.php?id=1180315&amp;type=1", "海通证券:H股--招股说明书（中文）")</f>
        <v>海通证券:H股--招股说明书（中文）</v>
      </c>
    </row>
    <row r="697" spans="1:3" x14ac:dyDescent="0.15">
      <c r="A697" s="1">
        <v>41017</v>
      </c>
      <c r="B697" t="s">
        <v>156</v>
      </c>
      <c r="C697" s="2" t="str">
        <f>HYPERLINK("http://snap.windin.com/ns/bulletin.php?id=962018&amp;type=1", "海通证券:H股--招股说明书（英文）")</f>
        <v>海通证券:H股--招股说明书（英文）</v>
      </c>
    </row>
    <row r="698" spans="1:3" x14ac:dyDescent="0.15">
      <c r="A698" s="1">
        <v>41016</v>
      </c>
      <c r="B698" t="s">
        <v>144</v>
      </c>
      <c r="C698" s="2" t="str">
        <f>HYPERLINK("http://snap.windin.com/ns/bulletin.php?id=2041383&amp;type=1", "明星电缆:首次公开发行A股股票招股意向书附录一")</f>
        <v>明星电缆:首次公开发行A股股票招股意向书附录一</v>
      </c>
    </row>
    <row r="699" spans="1:3" x14ac:dyDescent="0.15">
      <c r="A699" s="1">
        <v>41016</v>
      </c>
      <c r="B699" t="s">
        <v>150</v>
      </c>
      <c r="C699" s="2" t="str">
        <f>HYPERLINK("http://snap.windin.com/ns/bulletin.php?id=1844495&amp;type=1", "龙泉股份:首次公开发行股票招股说明书摘要")</f>
        <v>龙泉股份:首次公开发行股票招股说明书摘要</v>
      </c>
    </row>
    <row r="700" spans="1:3" x14ac:dyDescent="0.15">
      <c r="A700" s="1">
        <v>41016</v>
      </c>
      <c r="B700" t="s">
        <v>144</v>
      </c>
      <c r="C700" s="2" t="str">
        <f>HYPERLINK("http://snap.windin.com/ns/bulletin.php?id=1718893&amp;type=1", "明星电缆:首次公开发行A股股票招股意向书附录三")</f>
        <v>明星电缆:首次公开发行A股股票招股意向书附录三</v>
      </c>
    </row>
    <row r="701" spans="1:3" x14ac:dyDescent="0.15">
      <c r="A701" s="1">
        <v>41016</v>
      </c>
      <c r="B701" t="s">
        <v>144</v>
      </c>
      <c r="C701" s="2" t="str">
        <f>HYPERLINK("http://snap.windin.com/ns/bulletin.php?id=1650660&amp;type=1", "明星电缆:首次公开发行股票招股意向书摘要")</f>
        <v>明星电缆:首次公开发行股票招股意向书摘要</v>
      </c>
    </row>
    <row r="702" spans="1:3" x14ac:dyDescent="0.15">
      <c r="A702" s="1">
        <v>41016</v>
      </c>
      <c r="B702" t="s">
        <v>144</v>
      </c>
      <c r="C702" s="2" t="str">
        <f>HYPERLINK("http://snap.windin.com/ns/bulletin.php?id=1600571&amp;type=1", "明星电缆:首次公开发行A股股票招股意向书附录二")</f>
        <v>明星电缆:首次公开发行A股股票招股意向书附录二</v>
      </c>
    </row>
    <row r="703" spans="1:3" x14ac:dyDescent="0.15">
      <c r="A703" s="1">
        <v>41016</v>
      </c>
      <c r="B703" t="s">
        <v>150</v>
      </c>
      <c r="C703" s="2" t="str">
        <f>HYPERLINK("http://snap.windin.com/ns/bulletin.php?id=1343380&amp;type=1", "龙泉股份:首次公开发行股票招股说明书")</f>
        <v>龙泉股份:首次公开发行股票招股说明书</v>
      </c>
    </row>
    <row r="704" spans="1:3" x14ac:dyDescent="0.15">
      <c r="A704" s="1">
        <v>41016</v>
      </c>
      <c r="B704" t="s">
        <v>145</v>
      </c>
      <c r="C704" s="2" t="str">
        <f>HYPERLINK("http://snap.windin.com/ns/bulletin.php?id=1056256&amp;type=1", "兴业科技:首次公开发行股票招股意向书")</f>
        <v>兴业科技:首次公开发行股票招股意向书</v>
      </c>
    </row>
    <row r="705" spans="1:3" x14ac:dyDescent="0.15">
      <c r="A705" s="1">
        <v>41016</v>
      </c>
      <c r="B705" t="s">
        <v>144</v>
      </c>
      <c r="C705" s="2" t="str">
        <f>HYPERLINK("http://snap.windin.com/ns/bulletin.php?id=930220&amp;type=1", "明星电缆:首次公开发行股票招股意向书")</f>
        <v>明星电缆:首次公开发行股票招股意向书</v>
      </c>
    </row>
    <row r="706" spans="1:3" x14ac:dyDescent="0.15">
      <c r="A706" s="1">
        <v>41016</v>
      </c>
      <c r="B706" t="s">
        <v>145</v>
      </c>
      <c r="C706" s="2" t="str">
        <f>HYPERLINK("http://snap.windin.com/ns/bulletin.php?id=810171&amp;type=1", "兴业科技:首次公开发行股票招股意向书摘要")</f>
        <v>兴业科技:首次公开发行股票招股意向书摘要</v>
      </c>
    </row>
    <row r="707" spans="1:3" x14ac:dyDescent="0.15">
      <c r="A707" s="1">
        <v>41016</v>
      </c>
      <c r="B707" t="s">
        <v>144</v>
      </c>
      <c r="C707" s="2" t="str">
        <f>HYPERLINK("http://snap.windin.com/ns/bulletin.php?id=153854&amp;type=1", "明星电缆:首次公开发行A股股票招股意向书附录四")</f>
        <v>明星电缆:首次公开发行A股股票招股意向书附录四</v>
      </c>
    </row>
    <row r="708" spans="1:3" x14ac:dyDescent="0.15">
      <c r="A708" s="1">
        <v>41015</v>
      </c>
      <c r="B708" t="s">
        <v>148</v>
      </c>
      <c r="C708" s="2" t="str">
        <f>HYPERLINK("http://snap.windin.com/ns/bulletin.php?id=1929989&amp;type=1", "东江环保:首次公开发行A股股票招股说明书摘要")</f>
        <v>东江环保:首次公开发行A股股票招股说明书摘要</v>
      </c>
    </row>
    <row r="709" spans="1:3" x14ac:dyDescent="0.15">
      <c r="A709" s="1">
        <v>41015</v>
      </c>
      <c r="B709" t="s">
        <v>148</v>
      </c>
      <c r="C709" s="2" t="str">
        <f>HYPERLINK("http://snap.windin.com/ns/bulletin.php?id=1720342&amp;type=1", "东江环保:首次公开发行A股股票招股说明书")</f>
        <v>东江环保:首次公开发行A股股票招股说明书</v>
      </c>
    </row>
    <row r="710" spans="1:3" x14ac:dyDescent="0.15">
      <c r="A710" s="1">
        <v>41015</v>
      </c>
      <c r="B710" t="s">
        <v>153</v>
      </c>
      <c r="C710" s="2" t="str">
        <f>HYPERLINK("http://snap.windin.com/ns/bulletin.php?id=1563343&amp;type=1", "天山生物:首次公开发行股票并在创业板上市招股说明书")</f>
        <v>天山生物:首次公开发行股票并在创业板上市招股说明书</v>
      </c>
    </row>
    <row r="711" spans="1:3" x14ac:dyDescent="0.15">
      <c r="A711" s="1">
        <v>41015</v>
      </c>
      <c r="B711" t="s">
        <v>143</v>
      </c>
      <c r="C711" s="2" t="str">
        <f>HYPERLINK("http://snap.windin.com/ns/bulletin.php?id=429834&amp;type=1", "邦讯技术:首次公开发行股票并在创业板上市招股意向书")</f>
        <v>邦讯技术:首次公开发行股票并在创业板上市招股意向书</v>
      </c>
    </row>
    <row r="712" spans="1:3" x14ac:dyDescent="0.15">
      <c r="A712" s="1">
        <v>41012</v>
      </c>
      <c r="B712" t="s">
        <v>147</v>
      </c>
      <c r="C712" s="2" t="str">
        <f>HYPERLINK("http://snap.windin.com/ns/bulletin.php?id=1182468&amp;type=1", "西部证券:首次公开发行股票招股意向书")</f>
        <v>西部证券:首次公开发行股票招股意向书</v>
      </c>
    </row>
    <row r="713" spans="1:3" x14ac:dyDescent="0.15">
      <c r="A713" s="1">
        <v>41012</v>
      </c>
      <c r="B713" t="s">
        <v>157</v>
      </c>
      <c r="C713" s="2" t="str">
        <f>HYPERLINK("http://snap.windin.com/ns/bulletin.php?id=952687&amp;type=1", "华声股份:首次公开发行股票上市公告书")</f>
        <v>华声股份:首次公开发行股票上市公告书</v>
      </c>
    </row>
    <row r="714" spans="1:3" x14ac:dyDescent="0.15">
      <c r="A714" s="1">
        <v>41012</v>
      </c>
      <c r="B714" t="s">
        <v>142</v>
      </c>
      <c r="C714" s="2" t="str">
        <f>HYPERLINK("http://snap.windin.com/ns/bulletin.php?id=936104&amp;type=1", "戴维医疗:首次公开发行股票并在创业板上市招股意向书")</f>
        <v>戴维医疗:首次公开发行股票并在创业板上市招股意向书</v>
      </c>
    </row>
    <row r="715" spans="1:3" x14ac:dyDescent="0.15">
      <c r="A715" s="1">
        <v>41012</v>
      </c>
      <c r="B715" t="s">
        <v>147</v>
      </c>
      <c r="C715" s="2" t="str">
        <f>HYPERLINK("http://snap.windin.com/ns/bulletin.php?id=756936&amp;type=1", "西部证券:首次公开发行招股意向书摘要")</f>
        <v>西部证券:首次公开发行招股意向书摘要</v>
      </c>
    </row>
    <row r="716" spans="1:3" x14ac:dyDescent="0.15">
      <c r="A716" s="1">
        <v>41012</v>
      </c>
      <c r="B716" t="s">
        <v>158</v>
      </c>
      <c r="C716" s="2" t="str">
        <f>HYPERLINK("http://snap.windin.com/ns/bulletin.php?id=546153&amp;type=1", "康达新材:首次公开发行股票上市公告书")</f>
        <v>康达新材:首次公开发行股票上市公告书</v>
      </c>
    </row>
    <row r="717" spans="1:3" x14ac:dyDescent="0.15">
      <c r="A717" s="1">
        <v>41012</v>
      </c>
      <c r="B717" t="s">
        <v>152</v>
      </c>
      <c r="C717" s="2" t="str">
        <f>HYPERLINK("http://snap.windin.com/ns/bulletin.php?id=495008&amp;type=1", "任子行:首次公开发行股票并在创业板上市招股说明书")</f>
        <v>任子行:首次公开发行股票并在创业板上市招股说明书</v>
      </c>
    </row>
    <row r="718" spans="1:3" x14ac:dyDescent="0.15">
      <c r="A718" s="1">
        <v>41012</v>
      </c>
      <c r="B718" t="s">
        <v>154</v>
      </c>
      <c r="C718" s="2" t="str">
        <f>HYPERLINK("http://snap.windin.com/ns/bulletin.php?id=236429&amp;type=1", "宜通世纪:首次公开发行股票并在创业板上市招股说明书")</f>
        <v>宜通世纪:首次公开发行股票并在创业板上市招股说明书</v>
      </c>
    </row>
    <row r="719" spans="1:3" x14ac:dyDescent="0.15">
      <c r="A719" s="1">
        <v>41012</v>
      </c>
      <c r="B719" t="s">
        <v>159</v>
      </c>
      <c r="C719" s="2" t="str">
        <f>HYPERLINK("http://snap.windin.com/ns/bulletin.php?id=80429&amp;type=1", "奥马电器:首次公开发行股票上市公告书")</f>
        <v>奥马电器:首次公开发行股票上市公告书</v>
      </c>
    </row>
    <row r="720" spans="1:3" x14ac:dyDescent="0.15">
      <c r="A720" s="1">
        <v>41009</v>
      </c>
      <c r="B720" t="s">
        <v>151</v>
      </c>
      <c r="C720" s="2" t="str">
        <f>HYPERLINK("http://snap.windin.com/ns/bulletin.php?id=2129163&amp;type=1", "奥康国际:首次公开发行A股股票招股意向书附录四")</f>
        <v>奥康国际:首次公开发行A股股票招股意向书附录四</v>
      </c>
    </row>
    <row r="721" spans="1:3" x14ac:dyDescent="0.15">
      <c r="A721" s="1">
        <v>41009</v>
      </c>
      <c r="B721" t="s">
        <v>146</v>
      </c>
      <c r="C721" s="2" t="str">
        <f>HYPERLINK("http://snap.windin.com/ns/bulletin.php?id=1982435&amp;type=1", "翠微股份:首次公开发行A股股票招股意向书附录")</f>
        <v>翠微股份:首次公开发行A股股票招股意向书附录</v>
      </c>
    </row>
    <row r="722" spans="1:3" x14ac:dyDescent="0.15">
      <c r="A722" s="1">
        <v>41009</v>
      </c>
      <c r="B722" t="s">
        <v>151</v>
      </c>
      <c r="C722" s="2" t="str">
        <f>HYPERLINK("http://snap.windin.com/ns/bulletin.php?id=1945413&amp;type=1", "奥康国际:首次公开发行A股股票招股意向书附录二")</f>
        <v>奥康国际:首次公开发行A股股票招股意向书附录二</v>
      </c>
    </row>
    <row r="723" spans="1:3" x14ac:dyDescent="0.15">
      <c r="A723" s="1">
        <v>41009</v>
      </c>
      <c r="B723" t="s">
        <v>160</v>
      </c>
      <c r="C723" s="2" t="str">
        <f>HYPERLINK("http://snap.windin.com/ns/bulletin.php?id=1895377&amp;type=1", "N吉艾:关于《吉艾科技（北京）股份公司首次开发行票并在创业板上市之上市公告书》的更正公告")</f>
        <v>N吉艾:关于《吉艾科技（北京）股份公司首次开发行票并在创业板上市之上市公告书》的更正公告</v>
      </c>
    </row>
    <row r="724" spans="1:3" x14ac:dyDescent="0.15">
      <c r="A724" s="1">
        <v>41009</v>
      </c>
      <c r="B724" t="s">
        <v>146</v>
      </c>
      <c r="C724" s="2" t="str">
        <f>HYPERLINK("http://snap.windin.com/ns/bulletin.php?id=1861113&amp;type=1", "翠微股份:首次公开发行股票招股意向书摘要")</f>
        <v>翠微股份:首次公开发行股票招股意向书摘要</v>
      </c>
    </row>
    <row r="725" spans="1:3" x14ac:dyDescent="0.15">
      <c r="A725" s="1">
        <v>41009</v>
      </c>
      <c r="B725" t="s">
        <v>161</v>
      </c>
      <c r="C725" s="2" t="str">
        <f>HYPERLINK("http://snap.windin.com/ns/bulletin.php?id=1859881&amp;type=1", "隆基股份:首次公开发行A股股票上市公告书")</f>
        <v>隆基股份:首次公开发行A股股票上市公告书</v>
      </c>
    </row>
    <row r="726" spans="1:3" x14ac:dyDescent="0.15">
      <c r="A726" s="1">
        <v>41009</v>
      </c>
      <c r="B726" t="s">
        <v>161</v>
      </c>
      <c r="C726" s="2" t="str">
        <f>HYPERLINK("http://snap.windin.com/ns/bulletin.php?id=1747454&amp;type=1", "隆基股份:首次公开发行股票招股说明书")</f>
        <v>隆基股份:首次公开发行股票招股说明书</v>
      </c>
    </row>
    <row r="727" spans="1:3" x14ac:dyDescent="0.15">
      <c r="A727" s="1">
        <v>41009</v>
      </c>
      <c r="B727" t="s">
        <v>151</v>
      </c>
      <c r="C727" s="2" t="str">
        <f>HYPERLINK("http://snap.windin.com/ns/bulletin.php?id=1665642&amp;type=1", "奥康国际:首次公开发行A股股票招股意向书附录一")</f>
        <v>奥康国际:首次公开发行A股股票招股意向书附录一</v>
      </c>
    </row>
    <row r="728" spans="1:3" x14ac:dyDescent="0.15">
      <c r="A728" s="1">
        <v>41009</v>
      </c>
      <c r="B728" t="s">
        <v>150</v>
      </c>
      <c r="C728" s="2" t="str">
        <f>HYPERLINK("http://snap.windin.com/ns/bulletin.php?id=1384412&amp;type=1", "龙泉股份:首次公开发行股票招股意向书")</f>
        <v>龙泉股份:首次公开发行股票招股意向书</v>
      </c>
    </row>
    <row r="729" spans="1:3" x14ac:dyDescent="0.15">
      <c r="A729" s="1">
        <v>41009</v>
      </c>
      <c r="B729" t="s">
        <v>151</v>
      </c>
      <c r="C729" s="2" t="str">
        <f>HYPERLINK("http://snap.windin.com/ns/bulletin.php?id=1319567&amp;type=1", "奥康国际:首次公开发行A股股票招股意向书附录三")</f>
        <v>奥康国际:首次公开发行A股股票招股意向书附录三</v>
      </c>
    </row>
    <row r="730" spans="1:3" x14ac:dyDescent="0.15">
      <c r="A730" s="1">
        <v>41009</v>
      </c>
      <c r="B730" t="s">
        <v>150</v>
      </c>
      <c r="C730" s="2" t="str">
        <f>HYPERLINK("http://snap.windin.com/ns/bulletin.php?id=809275&amp;type=1", "龙泉股份:首次公开发行股票招股意向书摘要")</f>
        <v>龙泉股份:首次公开发行股票招股意向书摘要</v>
      </c>
    </row>
    <row r="731" spans="1:3" x14ac:dyDescent="0.15">
      <c r="A731" s="1">
        <v>41009</v>
      </c>
      <c r="B731" t="s">
        <v>160</v>
      </c>
      <c r="C731" s="2" t="str">
        <f>HYPERLINK("http://snap.windin.com/ns/bulletin.php?id=596556&amp;type=1", "N吉艾:首次公开发行股票并在创业板上市之上市公告书（更新后）")</f>
        <v>N吉艾:首次公开发行股票并在创业板上市之上市公告书（更新后）</v>
      </c>
    </row>
    <row r="732" spans="1:3" x14ac:dyDescent="0.15">
      <c r="A732" s="1">
        <v>41009</v>
      </c>
      <c r="B732" t="s">
        <v>146</v>
      </c>
      <c r="C732" s="2" t="str">
        <f>HYPERLINK("http://snap.windin.com/ns/bulletin.php?id=402282&amp;type=1", "翠微股份:首次公开发行股票招股意向书")</f>
        <v>翠微股份:首次公开发行股票招股意向书</v>
      </c>
    </row>
    <row r="733" spans="1:3" x14ac:dyDescent="0.15">
      <c r="A733" s="1">
        <v>41009</v>
      </c>
      <c r="B733" t="s">
        <v>151</v>
      </c>
      <c r="C733" s="2" t="str">
        <f>HYPERLINK("http://snap.windin.com/ns/bulletin.php?id=221991&amp;type=1", "奥康国际:首次公开发行股票招股意向书摘要")</f>
        <v>奥康国际:首次公开发行股票招股意向书摘要</v>
      </c>
    </row>
    <row r="734" spans="1:3" x14ac:dyDescent="0.15">
      <c r="A734" s="1">
        <v>41009</v>
      </c>
      <c r="B734" t="s">
        <v>151</v>
      </c>
      <c r="C734" s="2" t="str">
        <f>HYPERLINK("http://snap.windin.com/ns/bulletin.php?id=187465&amp;type=1", "奥康国际:首次公开发行股票招股意向书")</f>
        <v>奥康国际:首次公开发行股票招股意向书</v>
      </c>
    </row>
    <row r="735" spans="1:3" x14ac:dyDescent="0.15">
      <c r="A735" s="1">
        <v>41008</v>
      </c>
      <c r="B735" t="s">
        <v>160</v>
      </c>
      <c r="C735" s="2" t="str">
        <f>HYPERLINK("http://snap.windin.com/ns/bulletin.php?id=1895154&amp;type=1", "吉艾科技:首次公开发行股票并在创业板上市上市公告书提示性公告")</f>
        <v>吉艾科技:首次公开发行股票并在创业板上市上市公告书提示性公告</v>
      </c>
    </row>
    <row r="736" spans="1:3" x14ac:dyDescent="0.15">
      <c r="A736" s="1">
        <v>41008</v>
      </c>
      <c r="B736" t="s">
        <v>160</v>
      </c>
      <c r="C736" s="2" t="str">
        <f>HYPERLINK("http://snap.windin.com/ns/bulletin.php?id=1653520&amp;type=1", "吉艾科技:首次公开发行股票并在创业板上市之上市公告书")</f>
        <v>吉艾科技:首次公开发行股票并在创业板上市之上市公告书</v>
      </c>
    </row>
    <row r="737" spans="1:3" x14ac:dyDescent="0.15">
      <c r="A737" s="1">
        <v>41008</v>
      </c>
      <c r="B737" t="s">
        <v>162</v>
      </c>
      <c r="C737" s="2" t="str">
        <f>HYPERLINK("http://snap.windin.com/ns/bulletin.php?id=1643509&amp;type=1", "中际装备:首次公开发行股票并在创业板上市公告书")</f>
        <v>中际装备:首次公开发行股票并在创业板上市公告书</v>
      </c>
    </row>
    <row r="738" spans="1:3" x14ac:dyDescent="0.15">
      <c r="A738" s="1">
        <v>41008</v>
      </c>
      <c r="B738" t="s">
        <v>162</v>
      </c>
      <c r="C738" s="2" t="str">
        <f>HYPERLINK("http://snap.windin.com/ns/bulletin.php?id=1070721&amp;type=1", "中际装备:首次公开发行股票并在创业板上市上市公告书提示公告")</f>
        <v>中际装备:首次公开发行股票并在创业板上市上市公告书提示公告</v>
      </c>
    </row>
    <row r="739" spans="1:3" x14ac:dyDescent="0.15">
      <c r="A739" s="1">
        <v>41005</v>
      </c>
      <c r="B739" t="s">
        <v>148</v>
      </c>
      <c r="C739" s="2" t="str">
        <f>HYPERLINK("http://snap.windin.com/ns/bulletin.php?id=1704740&amp;type=1", "东江环保:首次公开发行A股股票招股意向书摘要")</f>
        <v>东江环保:首次公开发行A股股票招股意向书摘要</v>
      </c>
    </row>
    <row r="740" spans="1:3" x14ac:dyDescent="0.15">
      <c r="A740" s="1">
        <v>41005</v>
      </c>
      <c r="B740" t="s">
        <v>153</v>
      </c>
      <c r="C740" s="2" t="str">
        <f>HYPERLINK("http://snap.windin.com/ns/bulletin.php?id=1223566&amp;type=1", "天山生物:首次公开发行股票并在创业板上市招股意向书")</f>
        <v>天山生物:首次公开发行股票并在创业板上市招股意向书</v>
      </c>
    </row>
    <row r="741" spans="1:3" x14ac:dyDescent="0.15">
      <c r="A741" s="1">
        <v>41005</v>
      </c>
      <c r="B741" t="s">
        <v>148</v>
      </c>
      <c r="C741" s="2" t="str">
        <f>HYPERLINK("http://snap.windin.com/ns/bulletin.php?id=211157&amp;type=1", "东江环保:首次公开发行A股股票招股意向书")</f>
        <v>东江环保:首次公开发行A股股票招股意向书</v>
      </c>
    </row>
    <row r="742" spans="1:3" x14ac:dyDescent="0.15">
      <c r="A742" s="1">
        <v>41004</v>
      </c>
      <c r="B742" t="s">
        <v>157</v>
      </c>
      <c r="C742" s="2" t="str">
        <f>HYPERLINK("http://snap.windin.com/ns/bulletin.php?id=2055436&amp;type=1", "华声股份:首次公开发行股票招股说明书")</f>
        <v>华声股份:首次公开发行股票招股说明书</v>
      </c>
    </row>
    <row r="743" spans="1:3" x14ac:dyDescent="0.15">
      <c r="A743" s="1">
        <v>41004</v>
      </c>
      <c r="B743" t="s">
        <v>157</v>
      </c>
      <c r="C743" s="2" t="str">
        <f>HYPERLINK("http://snap.windin.com/ns/bulletin.php?id=2003338&amp;type=1", "华声股份:首次公开发行股票招股说明书摘要")</f>
        <v>华声股份:首次公开发行股票招股说明书摘要</v>
      </c>
    </row>
    <row r="744" spans="1:3" x14ac:dyDescent="0.15">
      <c r="A744" s="1">
        <v>41004</v>
      </c>
      <c r="B744" t="s">
        <v>149</v>
      </c>
      <c r="C744" s="2" t="str">
        <f>HYPERLINK("http://snap.windin.com/ns/bulletin.php?id=1650755&amp;type=1", "人民网:首次公开发行股票招股意向书")</f>
        <v>人民网:首次公开发行股票招股意向书</v>
      </c>
    </row>
    <row r="745" spans="1:3" x14ac:dyDescent="0.15">
      <c r="A745" s="1">
        <v>41004</v>
      </c>
      <c r="B745" t="s">
        <v>149</v>
      </c>
      <c r="C745" s="2" t="str">
        <f>HYPERLINK("http://snap.windin.com/ns/bulletin.php?id=903387&amp;type=1", "人民网:首次公开发行股票招股意向书附录")</f>
        <v>人民网:首次公开发行股票招股意向书附录</v>
      </c>
    </row>
    <row r="746" spans="1:3" x14ac:dyDescent="0.15">
      <c r="A746" s="1">
        <v>41004</v>
      </c>
      <c r="B746" t="s">
        <v>149</v>
      </c>
      <c r="C746" s="2" t="str">
        <f>HYPERLINK("http://snap.windin.com/ns/bulletin.php?id=712023&amp;type=1", "人民网:首次公开发行股票招股意向书摘要")</f>
        <v>人民网:首次公开发行股票招股意向书摘要</v>
      </c>
    </row>
    <row r="747" spans="1:3" x14ac:dyDescent="0.15">
      <c r="A747" s="1">
        <v>40998</v>
      </c>
      <c r="B747" t="s">
        <v>158</v>
      </c>
      <c r="C747" s="2" t="str">
        <f>HYPERLINK("http://snap.windin.com/ns/bulletin.php?id=1541196&amp;type=1", "康达新材:首次公开发行股票招股说明书摘要")</f>
        <v>康达新材:首次公开发行股票招股说明书摘要</v>
      </c>
    </row>
    <row r="748" spans="1:3" x14ac:dyDescent="0.15">
      <c r="A748" s="1">
        <v>40998</v>
      </c>
      <c r="B748" t="s">
        <v>152</v>
      </c>
      <c r="C748" s="2" t="str">
        <f>HYPERLINK("http://snap.windin.com/ns/bulletin.php?id=1465438&amp;type=1", "任子行:首次公开发行股票并在创业板上市招股意向书")</f>
        <v>任子行:首次公开发行股票并在创业板上市招股意向书</v>
      </c>
    </row>
    <row r="749" spans="1:3" x14ac:dyDescent="0.15">
      <c r="A749" s="1">
        <v>40998</v>
      </c>
      <c r="B749" t="s">
        <v>158</v>
      </c>
      <c r="C749" s="2" t="str">
        <f>HYPERLINK("http://snap.windin.com/ns/bulletin.php?id=1397163&amp;type=1", "康达新材:首次公开发行股票招股说明书")</f>
        <v>康达新材:首次公开发行股票招股说明书</v>
      </c>
    </row>
    <row r="750" spans="1:3" x14ac:dyDescent="0.15">
      <c r="A750" s="1">
        <v>40998</v>
      </c>
      <c r="B750" t="s">
        <v>154</v>
      </c>
      <c r="C750" s="2" t="str">
        <f>HYPERLINK("http://snap.windin.com/ns/bulletin.php?id=1234872&amp;type=1", "宜通世纪:首次公开发行股票并在创业板上市招股意向书")</f>
        <v>宜通世纪:首次公开发行股票并在创业板上市招股意向书</v>
      </c>
    </row>
    <row r="751" spans="1:3" x14ac:dyDescent="0.15">
      <c r="A751" s="1">
        <v>40996</v>
      </c>
      <c r="B751" t="s">
        <v>163</v>
      </c>
      <c r="C751" s="2" t="str">
        <f>HYPERLINK("http://snap.windin.com/ns/bulletin.php?id=1990294&amp;type=1", "慈星股份:首次公开发行股票并在创业板上市上市公告书")</f>
        <v>慈星股份:首次公开发行股票并在创业板上市上市公告书</v>
      </c>
    </row>
    <row r="752" spans="1:3" x14ac:dyDescent="0.15">
      <c r="A752" s="1">
        <v>40996</v>
      </c>
      <c r="B752" t="s">
        <v>164</v>
      </c>
      <c r="C752" s="2" t="str">
        <f>HYPERLINK("http://snap.windin.com/ns/bulletin.php?id=1964210&amp;type=1", "远方光电:首次公开发行股票并在创业板上市公告书")</f>
        <v>远方光电:首次公开发行股票并在创业板上市公告书</v>
      </c>
    </row>
    <row r="753" spans="1:3" x14ac:dyDescent="0.15">
      <c r="A753" s="1">
        <v>40996</v>
      </c>
      <c r="B753" t="s">
        <v>164</v>
      </c>
      <c r="C753" s="2" t="str">
        <f>HYPERLINK("http://snap.windin.com/ns/bulletin.php?id=1917782&amp;type=1", "远方光电:首次公开发行股票并在创业板上市公告书提示性公告")</f>
        <v>远方光电:首次公开发行股票并在创业板上市公告书提示性公告</v>
      </c>
    </row>
    <row r="754" spans="1:3" x14ac:dyDescent="0.15">
      <c r="A754" s="1">
        <v>40996</v>
      </c>
      <c r="B754" t="s">
        <v>165</v>
      </c>
      <c r="C754" s="2" t="str">
        <f>HYPERLINK("http://snap.windin.com/ns/bulletin.php?id=1530321&amp;type=1", "裕兴股份:首次公开发行股票并在创业板上市公告书提示性公告")</f>
        <v>裕兴股份:首次公开发行股票并在创业板上市公告书提示性公告</v>
      </c>
    </row>
    <row r="755" spans="1:3" x14ac:dyDescent="0.15">
      <c r="A755" s="1">
        <v>40996</v>
      </c>
      <c r="B755" t="s">
        <v>166</v>
      </c>
      <c r="C755" s="2" t="str">
        <f>HYPERLINK("http://snap.windin.com/ns/bulletin.php?id=874578&amp;type=1", "鞍重股份:首次公开发行股票上市公告书")</f>
        <v>鞍重股份:首次公开发行股票上市公告书</v>
      </c>
    </row>
    <row r="756" spans="1:3" x14ac:dyDescent="0.15">
      <c r="A756" s="1">
        <v>40996</v>
      </c>
      <c r="B756" t="s">
        <v>165</v>
      </c>
      <c r="C756" s="2" t="str">
        <f>HYPERLINK("http://snap.windin.com/ns/bulletin.php?id=681323&amp;type=1", "裕兴股份:首次公开发行股票并在创业板上市之上市公告书")</f>
        <v>裕兴股份:首次公开发行股票并在创业板上市之上市公告书</v>
      </c>
    </row>
    <row r="757" spans="1:3" x14ac:dyDescent="0.15">
      <c r="A757" s="1">
        <v>40995</v>
      </c>
      <c r="B757" t="s">
        <v>167</v>
      </c>
      <c r="C757" s="2" t="str">
        <f>HYPERLINK("http://snap.windin.com/ns/bulletin.php?id=2077331&amp;type=1", "N首航:关于《首次公开发行股票上市公告书》之更正公告")</f>
        <v>N首航:关于《首次公开发行股票上市公告书》之更正公告</v>
      </c>
    </row>
    <row r="758" spans="1:3" x14ac:dyDescent="0.15">
      <c r="A758" s="1">
        <v>40995</v>
      </c>
      <c r="B758" t="s">
        <v>159</v>
      </c>
      <c r="C758" s="2" t="str">
        <f>HYPERLINK("http://snap.windin.com/ns/bulletin.php?id=1889378&amp;type=1", "奥马电器:首次公开发行股票招股说明书摘要")</f>
        <v>奥马电器:首次公开发行股票招股说明书摘要</v>
      </c>
    </row>
    <row r="759" spans="1:3" x14ac:dyDescent="0.15">
      <c r="A759" s="1">
        <v>40995</v>
      </c>
      <c r="B759" t="s">
        <v>159</v>
      </c>
      <c r="C759" s="2" t="str">
        <f>HYPERLINK("http://snap.windin.com/ns/bulletin.php?id=1848191&amp;type=1", "奥马电器:首次公开发行股票招股说明书")</f>
        <v>奥马电器:首次公开发行股票招股说明书</v>
      </c>
    </row>
    <row r="760" spans="1:3" x14ac:dyDescent="0.15">
      <c r="A760" s="1">
        <v>40995</v>
      </c>
      <c r="B760" t="s">
        <v>160</v>
      </c>
      <c r="C760" s="2" t="str">
        <f>HYPERLINK("http://snap.windin.com/ns/bulletin.php?id=1843114&amp;type=1", "吉艾科技:首次公开发行股票并在创业板上市招股说明书（更新后）")</f>
        <v>吉艾科技:首次公开发行股票并在创业板上市招股说明书（更新后）</v>
      </c>
    </row>
    <row r="761" spans="1:3" x14ac:dyDescent="0.15">
      <c r="A761" s="1">
        <v>40995</v>
      </c>
      <c r="B761" t="s">
        <v>167</v>
      </c>
      <c r="C761" s="2" t="str">
        <f>HYPERLINK("http://snap.windin.com/ns/bulletin.php?id=801656&amp;type=1", "N首航:首次公开发行股票上市公告书（更新后）")</f>
        <v>N首航:首次公开发行股票上市公告书（更新后）</v>
      </c>
    </row>
    <row r="762" spans="1:3" x14ac:dyDescent="0.15">
      <c r="A762" s="1">
        <v>40995</v>
      </c>
      <c r="B762" t="s">
        <v>168</v>
      </c>
      <c r="C762" s="2" t="str">
        <f>HYPERLINK("http://snap.windin.com/ns/bulletin.php?id=706408&amp;type=1", "广汽集团:首次公开发行A股股票吸收合并广汽长丰汽车股份有限公司上市公告书")</f>
        <v>广汽集团:首次公开发行A股股票吸收合并广汽长丰汽车股份有限公司上市公告书</v>
      </c>
    </row>
    <row r="763" spans="1:3" x14ac:dyDescent="0.15">
      <c r="A763" s="1">
        <v>40995</v>
      </c>
      <c r="B763" t="s">
        <v>160</v>
      </c>
      <c r="C763" s="2" t="str">
        <f>HYPERLINK("http://snap.windin.com/ns/bulletin.php?id=587732&amp;type=1", "吉艾科技:关于《吉艾科技（北京）股份公司首次公开发行股票并在创业板上市招股说明书》的更正公告")</f>
        <v>吉艾科技:关于《吉艾科技（北京）股份公司首次公开发行股票并在创业板上市招股说明书》的更正公告</v>
      </c>
    </row>
    <row r="764" spans="1:3" x14ac:dyDescent="0.15">
      <c r="A764" s="1">
        <v>40994</v>
      </c>
      <c r="B764" t="s">
        <v>160</v>
      </c>
      <c r="C764" s="2" t="str">
        <f>HYPERLINK("http://snap.windin.com/ns/bulletin.php?id=1553528&amp;type=1", "吉艾科技:首次公开发行股票并在创业板上市招股说明书")</f>
        <v>吉艾科技:首次公开发行股票并在创业板上市招股说明书</v>
      </c>
    </row>
    <row r="765" spans="1:3" x14ac:dyDescent="0.15">
      <c r="A765" s="1">
        <v>40994</v>
      </c>
      <c r="B765" t="s">
        <v>167</v>
      </c>
      <c r="C765" s="2" t="str">
        <f>HYPERLINK("http://snap.windin.com/ns/bulletin.php?id=1427167&amp;type=1", "首航节能:首次公开发行股票上市公告书")</f>
        <v>首航节能:首次公开发行股票上市公告书</v>
      </c>
    </row>
    <row r="766" spans="1:3" x14ac:dyDescent="0.15">
      <c r="A766" s="1">
        <v>40994</v>
      </c>
      <c r="B766" t="s">
        <v>169</v>
      </c>
      <c r="C766" s="2" t="str">
        <f>HYPERLINK("http://snap.windin.com/ns/bulletin.php?id=797632&amp;type=1", "德联集团:首次公开发行股票上市公告书")</f>
        <v>德联集团:首次公开发行股票上市公告书</v>
      </c>
    </row>
    <row r="767" spans="1:3" x14ac:dyDescent="0.15">
      <c r="A767" s="1">
        <v>40991</v>
      </c>
      <c r="B767" t="s">
        <v>157</v>
      </c>
      <c r="C767" s="2" t="str">
        <f>HYPERLINK("http://snap.windin.com/ns/bulletin.php?id=2066791&amp;type=1", "华声股份:首次公开发行股票招股意向书（更新后）")</f>
        <v>华声股份:首次公开发行股票招股意向书（更新后）</v>
      </c>
    </row>
    <row r="768" spans="1:3" x14ac:dyDescent="0.15">
      <c r="A768" s="1">
        <v>40991</v>
      </c>
      <c r="B768" t="s">
        <v>162</v>
      </c>
      <c r="C768" s="2" t="str">
        <f>HYPERLINK("http://snap.windin.com/ns/bulletin.php?id=1568933&amp;type=1", "中际装备:首次公开发行股票并在创业板上市招股说明书")</f>
        <v>中际装备:首次公开发行股票并在创业板上市招股说明书</v>
      </c>
    </row>
    <row r="769" spans="1:3" x14ac:dyDescent="0.15">
      <c r="A769" s="1">
        <v>40991</v>
      </c>
      <c r="B769" t="s">
        <v>155</v>
      </c>
      <c r="C769" s="2" t="str">
        <f>HYPERLINK("http://snap.windin.com/ns/bulletin.php?id=1284411&amp;type=1", "怡球资源:首次公开发行股票招股意向书附录")</f>
        <v>怡球资源:首次公开发行股票招股意向书附录</v>
      </c>
    </row>
    <row r="770" spans="1:3" x14ac:dyDescent="0.15">
      <c r="A770" s="1">
        <v>40991</v>
      </c>
      <c r="B770" t="s">
        <v>157</v>
      </c>
      <c r="C770" s="2" t="str">
        <f>HYPERLINK("http://snap.windin.com/ns/bulletin.php?id=1078538&amp;type=1", "华声股份:首次公开发行股票招股意向书摘要（更新后）")</f>
        <v>华声股份:首次公开发行股票招股意向书摘要（更新后）</v>
      </c>
    </row>
    <row r="771" spans="1:3" x14ac:dyDescent="0.15">
      <c r="A771" s="1">
        <v>40991</v>
      </c>
      <c r="B771" t="s">
        <v>155</v>
      </c>
      <c r="C771" s="2" t="str">
        <f>HYPERLINK("http://snap.windin.com/ns/bulletin.php?id=1010185&amp;type=1", "怡球资源:首次公开发行股票招股意向书")</f>
        <v>怡球资源:首次公开发行股票招股意向书</v>
      </c>
    </row>
    <row r="772" spans="1:3" x14ac:dyDescent="0.15">
      <c r="A772" s="1">
        <v>40991</v>
      </c>
      <c r="B772" t="s">
        <v>157</v>
      </c>
      <c r="C772" s="2" t="str">
        <f>HYPERLINK("http://snap.windin.com/ns/bulletin.php?id=771743&amp;type=1", "华声股份:首次公开发行股票招股意向书摘要")</f>
        <v>华声股份:首次公开发行股票招股意向书摘要</v>
      </c>
    </row>
    <row r="773" spans="1:3" x14ac:dyDescent="0.15">
      <c r="A773" s="1">
        <v>40991</v>
      </c>
      <c r="B773" t="s">
        <v>155</v>
      </c>
      <c r="C773" s="2" t="str">
        <f>HYPERLINK("http://snap.windin.com/ns/bulletin.php?id=239871&amp;type=1", "怡球资源:首次公开发行股票招股意向书摘要")</f>
        <v>怡球资源:首次公开发行股票招股意向书摘要</v>
      </c>
    </row>
    <row r="774" spans="1:3" x14ac:dyDescent="0.15">
      <c r="A774" s="1">
        <v>40991</v>
      </c>
      <c r="B774" t="s">
        <v>157</v>
      </c>
      <c r="C774" s="2" t="str">
        <f>HYPERLINK("http://snap.windin.com/ns/bulletin.php?id=211329&amp;type=1", "华声股份:首次公开发行股票招股意向书")</f>
        <v>华声股份:首次公开发行股票招股意向书</v>
      </c>
    </row>
    <row r="775" spans="1:3" x14ac:dyDescent="0.15">
      <c r="A775" s="1">
        <v>40988</v>
      </c>
      <c r="B775" t="s">
        <v>158</v>
      </c>
      <c r="C775" s="2" t="str">
        <f>HYPERLINK("http://snap.windin.com/ns/bulletin.php?id=2112950&amp;type=1", "康达新材:首次公开发行股票招股意向书（更新后）")</f>
        <v>康达新材:首次公开发行股票招股意向书（更新后）</v>
      </c>
    </row>
    <row r="776" spans="1:3" x14ac:dyDescent="0.15">
      <c r="A776" s="1">
        <v>40988</v>
      </c>
      <c r="B776" t="s">
        <v>158</v>
      </c>
      <c r="C776" s="2" t="str">
        <f>HYPERLINK("http://snap.windin.com/ns/bulletin.php?id=1949764&amp;type=1", "康达新材:首次公开发行股票招股意向书摘要")</f>
        <v>康达新材:首次公开发行股票招股意向书摘要</v>
      </c>
    </row>
    <row r="777" spans="1:3" x14ac:dyDescent="0.15">
      <c r="A777" s="1">
        <v>40988</v>
      </c>
      <c r="B777" t="s">
        <v>170</v>
      </c>
      <c r="C777" s="2" t="str">
        <f>HYPERLINK("http://snap.windin.com/ns/bulletin.php?id=1910652&amp;type=1", "同有科技:首次公开发行股票并在创业板上市公告书提示性公告")</f>
        <v>同有科技:首次公开发行股票并在创业板上市公告书提示性公告</v>
      </c>
    </row>
    <row r="778" spans="1:3" x14ac:dyDescent="0.15">
      <c r="A778" s="1">
        <v>40988</v>
      </c>
      <c r="B778" t="s">
        <v>171</v>
      </c>
      <c r="C778" s="2" t="str">
        <f>HYPERLINK("http://snap.windin.com/ns/bulletin.php?id=1767873&amp;type=1", "长方照明:首次公开发行股票并在创业板上市上市公告书提示性公告")</f>
        <v>长方照明:首次公开发行股票并在创业板上市上市公告书提示性公告</v>
      </c>
    </row>
    <row r="779" spans="1:3" x14ac:dyDescent="0.15">
      <c r="A779" s="1">
        <v>40988</v>
      </c>
      <c r="B779" t="s">
        <v>172</v>
      </c>
      <c r="C779" s="2" t="str">
        <f>HYPERLINK("http://snap.windin.com/ns/bulletin.php?id=1758090&amp;type=1", "云意电气:首次公开发行股票并在创业板上市上市公告书提示公告")</f>
        <v>云意电气:首次公开发行股票并在创业板上市上市公告书提示公告</v>
      </c>
    </row>
    <row r="780" spans="1:3" x14ac:dyDescent="0.15">
      <c r="A780" s="1">
        <v>40988</v>
      </c>
      <c r="B780" t="s">
        <v>172</v>
      </c>
      <c r="C780" s="2" t="str">
        <f>HYPERLINK("http://snap.windin.com/ns/bulletin.php?id=1687107&amp;type=1", "云意电气:首次公开发行股票并在创业板上市公告书")</f>
        <v>云意电气:首次公开发行股票并在创业板上市公告书</v>
      </c>
    </row>
    <row r="781" spans="1:3" x14ac:dyDescent="0.15">
      <c r="A781" s="1">
        <v>40988</v>
      </c>
      <c r="B781" t="s">
        <v>171</v>
      </c>
      <c r="C781" s="2" t="str">
        <f>HYPERLINK("http://snap.windin.com/ns/bulletin.php?id=1333612&amp;type=1", "长方照明:首次公开发行股票并在创业板上市之上市公告书")</f>
        <v>长方照明:首次公开发行股票并在创业板上市之上市公告书</v>
      </c>
    </row>
    <row r="782" spans="1:3" x14ac:dyDescent="0.15">
      <c r="A782" s="1">
        <v>40988</v>
      </c>
      <c r="B782" t="s">
        <v>158</v>
      </c>
      <c r="C782" s="2" t="str">
        <f>HYPERLINK("http://snap.windin.com/ns/bulletin.php?id=1312354&amp;type=1", "康达新材:首次公开发行股票招股意向书")</f>
        <v>康达新材:首次公开发行股票招股意向书</v>
      </c>
    </row>
    <row r="783" spans="1:3" x14ac:dyDescent="0.15">
      <c r="A783" s="1">
        <v>40988</v>
      </c>
      <c r="B783" t="s">
        <v>166</v>
      </c>
      <c r="C783" s="2" t="str">
        <f>HYPERLINK("http://snap.windin.com/ns/bulletin.php?id=1137988&amp;type=1", "鞍重股份:首次公开发行股票招股说明书摘要")</f>
        <v>鞍重股份:首次公开发行股票招股说明书摘要</v>
      </c>
    </row>
    <row r="784" spans="1:3" x14ac:dyDescent="0.15">
      <c r="A784" s="1">
        <v>40988</v>
      </c>
      <c r="B784" t="s">
        <v>166</v>
      </c>
      <c r="C784" s="2" t="str">
        <f>HYPERLINK("http://snap.windin.com/ns/bulletin.php?id=798147&amp;type=1", "鞍重股份:首次公开发行股票招股说明书")</f>
        <v>鞍重股份:首次公开发行股票招股说明书</v>
      </c>
    </row>
    <row r="785" spans="1:3" x14ac:dyDescent="0.15">
      <c r="A785" s="1">
        <v>40988</v>
      </c>
      <c r="B785" t="s">
        <v>164</v>
      </c>
      <c r="C785" s="2" t="str">
        <f>HYPERLINK("http://snap.windin.com/ns/bulletin.php?id=517883&amp;type=1", "远方光电:首次公开发行股票并在创业板上市招股说明书")</f>
        <v>远方光电:首次公开发行股票并在创业板上市招股说明书</v>
      </c>
    </row>
    <row r="786" spans="1:3" x14ac:dyDescent="0.15">
      <c r="A786" s="1">
        <v>40988</v>
      </c>
      <c r="B786" t="s">
        <v>170</v>
      </c>
      <c r="C786" s="2" t="str">
        <f>HYPERLINK("http://snap.windin.com/ns/bulletin.php?id=418069&amp;type=1", "同有科技:首次公开发行股票并在创业板上市公告书")</f>
        <v>同有科技:首次公开发行股票并在创业板上市公告书</v>
      </c>
    </row>
    <row r="787" spans="1:3" x14ac:dyDescent="0.15">
      <c r="A787" s="1">
        <v>40987</v>
      </c>
      <c r="B787" t="s">
        <v>160</v>
      </c>
      <c r="C787" s="2" t="str">
        <f>HYPERLINK("http://snap.windin.com/ns/bulletin.php?id=943442&amp;type=1", "吉艾科技:首次公开发行股票并在创业板上市招股意向书")</f>
        <v>吉艾科技:首次公开发行股票并在创业板上市招股意向书</v>
      </c>
    </row>
    <row r="788" spans="1:3" x14ac:dyDescent="0.15">
      <c r="A788" s="1">
        <v>40987</v>
      </c>
      <c r="B788" t="s">
        <v>163</v>
      </c>
      <c r="C788" s="2" t="str">
        <f>HYPERLINK("http://snap.windin.com/ns/bulletin.php?id=95685&amp;type=1", "慈星股份:首次公开发行股票并在创业板上市招股说明书")</f>
        <v>慈星股份:首次公开发行股票并在创业板上市招股说明书</v>
      </c>
    </row>
    <row r="789" spans="1:3" x14ac:dyDescent="0.15">
      <c r="A789" s="1">
        <v>40986</v>
      </c>
      <c r="B789" t="s">
        <v>172</v>
      </c>
      <c r="C789" s="2" t="str">
        <f>HYPERLINK("http://snap.windin.com/ns/bulletin.php?id=1835225&amp;type=1", "云意电气:首次公开发行股票并在创业板上市招股说明书（更新后）")</f>
        <v>云意电气:首次公开发行股票并在创业板上市招股说明书（更新后）</v>
      </c>
    </row>
    <row r="790" spans="1:3" x14ac:dyDescent="0.15">
      <c r="A790" s="1">
        <v>40984</v>
      </c>
      <c r="B790" t="s">
        <v>173</v>
      </c>
      <c r="C790" s="2" t="str">
        <f>HYPERLINK("http://snap.windin.com/ns/bulletin.php?id=2050736&amp;type=1", "聚飞光电:首次公开发行股票并在创业板上市上市公告书提示性公告")</f>
        <v>聚飞光电:首次公开发行股票并在创业板上市上市公告书提示性公告</v>
      </c>
    </row>
    <row r="791" spans="1:3" x14ac:dyDescent="0.15">
      <c r="A791" s="1">
        <v>40984</v>
      </c>
      <c r="B791" t="s">
        <v>165</v>
      </c>
      <c r="C791" s="2" t="str">
        <f>HYPERLINK("http://snap.windin.com/ns/bulletin.php?id=2040084&amp;type=1", "裕兴股份:首次公开发行股票并在创业板上市招股说明书")</f>
        <v>裕兴股份:首次公开发行股票并在创业板上市招股说明书</v>
      </c>
    </row>
    <row r="792" spans="1:3" x14ac:dyDescent="0.15">
      <c r="A792" s="1">
        <v>40984</v>
      </c>
      <c r="B792" t="s">
        <v>174</v>
      </c>
      <c r="C792" s="2" t="str">
        <f>HYPERLINK("http://snap.windin.com/ns/bulletin.php?id=1993097&amp;type=1", "三诺生物:首次公开发行股票并在创业板上市上市公告书提示性公告")</f>
        <v>三诺生物:首次公开发行股票并在创业板上市上市公告书提示性公告</v>
      </c>
    </row>
    <row r="793" spans="1:3" x14ac:dyDescent="0.15">
      <c r="A793" s="1">
        <v>40984</v>
      </c>
      <c r="B793" t="s">
        <v>175</v>
      </c>
      <c r="C793" s="2" t="str">
        <f>HYPERLINK("http://snap.windin.com/ns/bulletin.php?id=1988196&amp;type=1", "汉鼎股份:首次公开发行股票并在创业板上市上市公告书")</f>
        <v>汉鼎股份:首次公开发行股票并在创业板上市上市公告书</v>
      </c>
    </row>
    <row r="794" spans="1:3" x14ac:dyDescent="0.15">
      <c r="A794" s="1">
        <v>40984</v>
      </c>
      <c r="B794" t="s">
        <v>161</v>
      </c>
      <c r="C794" s="2" t="str">
        <f>HYPERLINK("http://snap.windin.com/ns/bulletin.php?id=1877438&amp;type=1", "隆基股份:首次公开发行股票并上市招股意向书附录")</f>
        <v>隆基股份:首次公开发行股票并上市招股意向书附录</v>
      </c>
    </row>
    <row r="795" spans="1:3" x14ac:dyDescent="0.15">
      <c r="A795" s="1">
        <v>40984</v>
      </c>
      <c r="B795" t="s">
        <v>176</v>
      </c>
      <c r="C795" s="2" t="str">
        <f>HYPERLINK("http://snap.windin.com/ns/bulletin.php?id=1869459&amp;type=1", "富春通信:首次公开发行股票并在创业板上市之上市公告书")</f>
        <v>富春通信:首次公开发行股票并在创业板上市之上市公告书</v>
      </c>
    </row>
    <row r="796" spans="1:3" x14ac:dyDescent="0.15">
      <c r="A796" s="1">
        <v>40984</v>
      </c>
      <c r="B796" t="s">
        <v>176</v>
      </c>
      <c r="C796" s="2" t="str">
        <f>HYPERLINK("http://snap.windin.com/ns/bulletin.php?id=1773091&amp;type=1", "富春通信:首次公开发行股票并在创业板上市之上市公告书提示性公告")</f>
        <v>富春通信:首次公开发行股票并在创业板上市之上市公告书提示性公告</v>
      </c>
    </row>
    <row r="797" spans="1:3" x14ac:dyDescent="0.15">
      <c r="A797" s="1">
        <v>40984</v>
      </c>
      <c r="B797" t="s">
        <v>173</v>
      </c>
      <c r="C797" s="2" t="str">
        <f>HYPERLINK("http://snap.windin.com/ns/bulletin.php?id=1743000&amp;type=1", "聚飞光电:首次公开发行股票并在创业板上市之上市公告书")</f>
        <v>聚飞光电:首次公开发行股票并在创业板上市之上市公告书</v>
      </c>
    </row>
    <row r="798" spans="1:3" x14ac:dyDescent="0.15">
      <c r="A798" s="1">
        <v>40984</v>
      </c>
      <c r="B798" t="s">
        <v>159</v>
      </c>
      <c r="C798" s="2" t="str">
        <f>HYPERLINK("http://snap.windin.com/ns/bulletin.php?id=1498537&amp;type=1", "奥马电器:首次公开发行股票招股意向书")</f>
        <v>奥马电器:首次公开发行股票招股意向书</v>
      </c>
    </row>
    <row r="799" spans="1:3" x14ac:dyDescent="0.15">
      <c r="A799" s="1">
        <v>40984</v>
      </c>
      <c r="B799" t="s">
        <v>175</v>
      </c>
      <c r="C799" s="2" t="str">
        <f>HYPERLINK("http://snap.windin.com/ns/bulletin.php?id=1309508&amp;type=1", "汉鼎股份:首次公开发行股票并在创业板上市上市公告书提示性公告")</f>
        <v>汉鼎股份:首次公开发行股票并在创业板上市上市公告书提示性公告</v>
      </c>
    </row>
    <row r="800" spans="1:3" x14ac:dyDescent="0.15">
      <c r="A800" s="1">
        <v>40984</v>
      </c>
      <c r="B800" t="s">
        <v>159</v>
      </c>
      <c r="C800" s="2" t="str">
        <f>HYPERLINK("http://snap.windin.com/ns/bulletin.php?id=920613&amp;type=1", "奥马电器:首次公开发行股票招股意向书摘要")</f>
        <v>奥马电器:首次公开发行股票招股意向书摘要</v>
      </c>
    </row>
    <row r="801" spans="1:3" x14ac:dyDescent="0.15">
      <c r="A801" s="1">
        <v>40984</v>
      </c>
      <c r="B801" t="s">
        <v>161</v>
      </c>
      <c r="C801" s="2" t="str">
        <f>HYPERLINK("http://snap.windin.com/ns/bulletin.php?id=899324&amp;type=1", "隆基股份:首次公开发行股票招股意向书摘要")</f>
        <v>隆基股份:首次公开发行股票招股意向书摘要</v>
      </c>
    </row>
    <row r="802" spans="1:3" x14ac:dyDescent="0.15">
      <c r="A802" s="1">
        <v>40984</v>
      </c>
      <c r="B802" t="s">
        <v>161</v>
      </c>
      <c r="C802" s="2" t="str">
        <f>HYPERLINK("http://snap.windin.com/ns/bulletin.php?id=795832&amp;type=1", "隆基股份:首次公开发行股票招股意向书")</f>
        <v>隆基股份:首次公开发行股票招股意向书</v>
      </c>
    </row>
    <row r="803" spans="1:3" x14ac:dyDescent="0.15">
      <c r="A803" s="1">
        <v>40984</v>
      </c>
      <c r="B803" t="s">
        <v>162</v>
      </c>
      <c r="C803" s="2" t="str">
        <f>HYPERLINK("http://snap.windin.com/ns/bulletin.php?id=438790&amp;type=1", "中际装备:首次公开发行股票并在创业板上市招股意向书")</f>
        <v>中际装备:首次公开发行股票并在创业板上市招股意向书</v>
      </c>
    </row>
    <row r="804" spans="1:3" x14ac:dyDescent="0.15">
      <c r="A804" s="1">
        <v>40984</v>
      </c>
      <c r="B804" t="s">
        <v>174</v>
      </c>
      <c r="C804" s="2" t="str">
        <f>HYPERLINK("http://snap.windin.com/ns/bulletin.php?id=200130&amp;type=1", "三诺生物:首次公开发行股票并在创业板上市公告书")</f>
        <v>三诺生物:首次公开发行股票并在创业板上市公告书</v>
      </c>
    </row>
    <row r="805" spans="1:3" x14ac:dyDescent="0.15">
      <c r="A805" s="1">
        <v>40983</v>
      </c>
      <c r="B805" t="s">
        <v>177</v>
      </c>
      <c r="C805" s="2" t="str">
        <f>HYPERLINK("http://snap.windin.com/ns/bulletin.php?id=1508349&amp;type=1", "茂硕电源:首次公开发行股票上市公告书")</f>
        <v>茂硕电源:首次公开发行股票上市公告书</v>
      </c>
    </row>
    <row r="806" spans="1:3" x14ac:dyDescent="0.15">
      <c r="A806" s="1">
        <v>40983</v>
      </c>
      <c r="B806" t="s">
        <v>178</v>
      </c>
      <c r="C806" s="2" t="str">
        <f>HYPERLINK("http://snap.windin.com/ns/bulletin.php?id=645778&amp;type=1", "普邦园林:首次公开发行股票上市公告书")</f>
        <v>普邦园林:首次公开发行股票上市公告书</v>
      </c>
    </row>
    <row r="807" spans="1:3" x14ac:dyDescent="0.15">
      <c r="A807" s="1">
        <v>40983</v>
      </c>
      <c r="B807" t="s">
        <v>179</v>
      </c>
      <c r="C807" s="2" t="str">
        <f>HYPERLINK("http://snap.windin.com/ns/bulletin.php?id=577567&amp;type=1", "信质电机:首次公开发行股票上市公告书")</f>
        <v>信质电机:首次公开发行股票上市公告书</v>
      </c>
    </row>
    <row r="808" spans="1:3" x14ac:dyDescent="0.15">
      <c r="A808" s="1">
        <v>40983</v>
      </c>
      <c r="B808" t="s">
        <v>180</v>
      </c>
      <c r="C808" s="2" t="str">
        <f>HYPERLINK("http://snap.windin.com/ns/bulletin.php?id=566447&amp;type=1", "克明面业:首次公开发行股票上市公告书")</f>
        <v>克明面业:首次公开发行股票上市公告书</v>
      </c>
    </row>
    <row r="809" spans="1:3" x14ac:dyDescent="0.15">
      <c r="A809" s="1">
        <v>40982</v>
      </c>
      <c r="B809" t="s">
        <v>167</v>
      </c>
      <c r="C809" s="2" t="str">
        <f>HYPERLINK("http://snap.windin.com/ns/bulletin.php?id=1971984&amp;type=1", "首航节能:首次公开发行股票招股说明书摘要")</f>
        <v>首航节能:首次公开发行股票招股说明书摘要</v>
      </c>
    </row>
    <row r="810" spans="1:3" x14ac:dyDescent="0.15">
      <c r="A810" s="1">
        <v>40982</v>
      </c>
      <c r="B810" t="s">
        <v>181</v>
      </c>
      <c r="C810" s="2" t="str">
        <f>HYPERLINK("http://snap.windin.com/ns/bulletin.php?id=1853386&amp;type=1", "三六五网:首次公开发行股票并在创业板上市上市公告书提示性公告")</f>
        <v>三六五网:首次公开发行股票并在创业板上市上市公告书提示性公告</v>
      </c>
    </row>
    <row r="811" spans="1:3" x14ac:dyDescent="0.15">
      <c r="A811" s="1">
        <v>40982</v>
      </c>
      <c r="B811" t="s">
        <v>167</v>
      </c>
      <c r="C811" s="2" t="str">
        <f>HYPERLINK("http://snap.windin.com/ns/bulletin.php?id=1249606&amp;type=1", "首航节能:首次公开发行股票招股说明书")</f>
        <v>首航节能:首次公开发行股票招股说明书</v>
      </c>
    </row>
    <row r="812" spans="1:3" x14ac:dyDescent="0.15">
      <c r="A812" s="1">
        <v>40982</v>
      </c>
      <c r="B812" t="s">
        <v>182</v>
      </c>
      <c r="C812" s="2" t="str">
        <f>HYPERLINK("http://snap.windin.com/ns/bulletin.php?id=966529&amp;type=1", "利亚德:首次公开发行股票并在创业板上市上市公告书提示性公告")</f>
        <v>利亚德:首次公开发行股票并在创业板上市上市公告书提示性公告</v>
      </c>
    </row>
    <row r="813" spans="1:3" x14ac:dyDescent="0.15">
      <c r="A813" s="1">
        <v>40982</v>
      </c>
      <c r="B813" t="s">
        <v>183</v>
      </c>
      <c r="C813" s="2" t="str">
        <f>HYPERLINK("http://snap.windin.com/ns/bulletin.php?id=905550&amp;type=1", "N蓝盾:关于《蓝盾信息安全技术股份有限公司首次公开发行股票并在创业板上市公告书》更正公告")</f>
        <v>N蓝盾:关于《蓝盾信息安全技术股份有限公司首次公开发行股票并在创业板上市公告书》更正公告</v>
      </c>
    </row>
    <row r="814" spans="1:3" x14ac:dyDescent="0.15">
      <c r="A814" s="1">
        <v>40982</v>
      </c>
      <c r="B814" t="s">
        <v>182</v>
      </c>
      <c r="C814" s="2" t="str">
        <f>HYPERLINK("http://snap.windin.com/ns/bulletin.php?id=901768&amp;type=1", "利亚德:首次公开发行股票并在创业板上市上市公告书")</f>
        <v>利亚德:首次公开发行股票并在创业板上市上市公告书</v>
      </c>
    </row>
    <row r="815" spans="1:3" x14ac:dyDescent="0.15">
      <c r="A815" s="1">
        <v>40982</v>
      </c>
      <c r="B815" t="s">
        <v>181</v>
      </c>
      <c r="C815" s="2" t="str">
        <f>HYPERLINK("http://snap.windin.com/ns/bulletin.php?id=813325&amp;type=1", "三六五网:首次公开发行股票并在创业板上市上市公告书")</f>
        <v>三六五网:首次公开发行股票并在创业板上市上市公告书</v>
      </c>
    </row>
    <row r="816" spans="1:3" x14ac:dyDescent="0.15">
      <c r="A816" s="1">
        <v>40982</v>
      </c>
      <c r="B816" t="s">
        <v>183</v>
      </c>
      <c r="C816" s="2" t="str">
        <f>HYPERLINK("http://snap.windin.com/ns/bulletin.php?id=710181&amp;type=1", "N蓝盾:首次公开发行股票并在创业板上市公告书（更新后）")</f>
        <v>N蓝盾:首次公开发行股票并在创业板上市公告书（更新后）</v>
      </c>
    </row>
    <row r="817" spans="1:3" x14ac:dyDescent="0.15">
      <c r="A817" s="1">
        <v>40982</v>
      </c>
      <c r="B817" t="s">
        <v>183</v>
      </c>
      <c r="C817" s="2" t="str">
        <f>HYPERLINK("http://snap.windin.com/ns/bulletin.php?id=198758&amp;type=1", "蓝盾股份:首次公开发行股票并在创业板上市公告书")</f>
        <v>蓝盾股份:首次公开发行股票并在创业板上市公告书</v>
      </c>
    </row>
    <row r="818" spans="1:3" x14ac:dyDescent="0.15">
      <c r="A818" s="1">
        <v>40982</v>
      </c>
      <c r="B818" t="s">
        <v>183</v>
      </c>
      <c r="C818" s="2" t="str">
        <f>HYPERLINK("http://snap.windin.com/ns/bulletin.php?id=131753&amp;type=1", "蓝盾股份:首次公开发行股票并在创业板上市之上市公告书提示性公告")</f>
        <v>蓝盾股份:首次公开发行股票并在创业板上市之上市公告书提示性公告</v>
      </c>
    </row>
    <row r="819" spans="1:3" x14ac:dyDescent="0.15">
      <c r="A819" s="1">
        <v>40981</v>
      </c>
      <c r="B819" t="s">
        <v>166</v>
      </c>
      <c r="C819" s="2" t="str">
        <f>HYPERLINK("http://snap.windin.com/ns/bulletin.php?id=1964750&amp;type=1", "鞍重股份:首次公开发行股票招股意向书摘要")</f>
        <v>鞍重股份:首次公开发行股票招股意向书摘要</v>
      </c>
    </row>
    <row r="820" spans="1:3" x14ac:dyDescent="0.15">
      <c r="A820" s="1">
        <v>40981</v>
      </c>
      <c r="B820" t="s">
        <v>169</v>
      </c>
      <c r="C820" s="2" t="str">
        <f>HYPERLINK("http://snap.windin.com/ns/bulletin.php?id=1197774&amp;type=1", "德联集团:首次公开发行股票招股说明书摘要")</f>
        <v>德联集团:首次公开发行股票招股说明书摘要</v>
      </c>
    </row>
    <row r="821" spans="1:3" x14ac:dyDescent="0.15">
      <c r="A821" s="1">
        <v>40981</v>
      </c>
      <c r="B821" t="s">
        <v>169</v>
      </c>
      <c r="C821" s="2" t="str">
        <f>HYPERLINK("http://snap.windin.com/ns/bulletin.php?id=1047204&amp;type=1", "德联集团:首次公开发行股票招股说明书")</f>
        <v>德联集团:首次公开发行股票招股说明书</v>
      </c>
    </row>
    <row r="822" spans="1:3" x14ac:dyDescent="0.15">
      <c r="A822" s="1">
        <v>40981</v>
      </c>
      <c r="B822" t="s">
        <v>166</v>
      </c>
      <c r="C822" s="2" t="str">
        <f>HYPERLINK("http://snap.windin.com/ns/bulletin.php?id=222040&amp;type=1", "鞍重股份:首次公开发行股票招股意向书")</f>
        <v>鞍重股份:首次公开发行股票招股意向书</v>
      </c>
    </row>
    <row r="823" spans="1:3" x14ac:dyDescent="0.15">
      <c r="A823" s="1">
        <v>40980</v>
      </c>
      <c r="B823" t="s">
        <v>164</v>
      </c>
      <c r="C823" s="2" t="str">
        <f>HYPERLINK("http://snap.windin.com/ns/bulletin.php?id=2067749&amp;type=1", "远方光电:首次公开发行股票并在创业板上市招股意向书")</f>
        <v>远方光电:首次公开发行股票并在创业板上市招股意向书</v>
      </c>
    </row>
    <row r="824" spans="1:3" x14ac:dyDescent="0.15">
      <c r="A824" s="1">
        <v>40980</v>
      </c>
      <c r="B824" t="s">
        <v>172</v>
      </c>
      <c r="C824" s="2" t="str">
        <f>HYPERLINK("http://snap.windin.com/ns/bulletin.php?id=1690613&amp;type=1", "云意电气:首次公开发行股票并在创业板上市招股说明书")</f>
        <v>云意电气:首次公开发行股票并在创业板上市招股说明书</v>
      </c>
    </row>
    <row r="825" spans="1:3" x14ac:dyDescent="0.15">
      <c r="A825" s="1">
        <v>40980</v>
      </c>
      <c r="B825" t="s">
        <v>170</v>
      </c>
      <c r="C825" s="2" t="str">
        <f>HYPERLINK("http://snap.windin.com/ns/bulletin.php?id=1595228&amp;type=1", "同有科技:首次公开发行股票并在创业板上市招股说明书")</f>
        <v>同有科技:首次公开发行股票并在创业板上市招股说明书</v>
      </c>
    </row>
    <row r="826" spans="1:3" x14ac:dyDescent="0.15">
      <c r="A826" s="1">
        <v>40980</v>
      </c>
      <c r="B826" t="s">
        <v>163</v>
      </c>
      <c r="C826" s="2" t="str">
        <f>HYPERLINK("http://snap.windin.com/ns/bulletin.php?id=522579&amp;type=1", "慈星股份:首次公开发行股票并在创业板上市招股意向书")</f>
        <v>慈星股份:首次公开发行股票并在创业板上市招股意向书</v>
      </c>
    </row>
    <row r="827" spans="1:3" x14ac:dyDescent="0.15">
      <c r="A827" s="1">
        <v>40977</v>
      </c>
      <c r="B827" t="s">
        <v>171</v>
      </c>
      <c r="C827" s="2" t="str">
        <f>HYPERLINK("http://snap.windin.com/ns/bulletin.php?id=1693066&amp;type=1", "长方照明:首次公开发行股票并在创业板上市招股说明书")</f>
        <v>长方照明:首次公开发行股票并在创业板上市招股说明书</v>
      </c>
    </row>
    <row r="828" spans="1:3" x14ac:dyDescent="0.15">
      <c r="A828" s="1">
        <v>40977</v>
      </c>
      <c r="B828" t="s">
        <v>165</v>
      </c>
      <c r="C828" s="2" t="str">
        <f>HYPERLINK("http://snap.windin.com/ns/bulletin.php?id=124037&amp;type=1", "裕兴股份:首次公开发行股票并在创业板上市招股意向书")</f>
        <v>裕兴股份:首次公开发行股票并在创业板上市招股意向书</v>
      </c>
    </row>
    <row r="829" spans="1:3" x14ac:dyDescent="0.15">
      <c r="A829" s="1">
        <v>40976</v>
      </c>
      <c r="B829" t="s">
        <v>184</v>
      </c>
      <c r="C829" s="2" t="str">
        <f>HYPERLINK("http://snap.windin.com/ns/bulletin.php?id=1660314&amp;type=1", "京威股份:首次公开发行股票上市公告书")</f>
        <v>京威股份:首次公开发行股票上市公告书</v>
      </c>
    </row>
    <row r="830" spans="1:3" x14ac:dyDescent="0.15">
      <c r="A830" s="1">
        <v>40976</v>
      </c>
      <c r="B830" t="s">
        <v>185</v>
      </c>
      <c r="C830" s="2" t="str">
        <f>HYPERLINK("http://snap.windin.com/ns/bulletin.php?id=1591260&amp;type=1", "中国交建:首次公开发行A股股票上市公告书")</f>
        <v>中国交建:首次公开发行A股股票上市公告书</v>
      </c>
    </row>
    <row r="831" spans="1:3" x14ac:dyDescent="0.15">
      <c r="A831" s="1">
        <v>40976</v>
      </c>
      <c r="B831" t="s">
        <v>173</v>
      </c>
      <c r="C831" s="2" t="str">
        <f>HYPERLINK("http://snap.windin.com/ns/bulletin.php?id=1587453&amp;type=1", "聚飞光电:首次公开发行股票并在创业板上市招股说明书")</f>
        <v>聚飞光电:首次公开发行股票并在创业板上市招股说明书</v>
      </c>
    </row>
    <row r="832" spans="1:3" x14ac:dyDescent="0.15">
      <c r="A832" s="1">
        <v>40976</v>
      </c>
      <c r="B832" t="s">
        <v>186</v>
      </c>
      <c r="C832" s="2" t="str">
        <f>HYPERLINK("http://snap.windin.com/ns/bulletin.php?id=701334&amp;type=1", "雪迪龙:首次公开发行股票上市公告书")</f>
        <v>雪迪龙:首次公开发行股票上市公告书</v>
      </c>
    </row>
    <row r="833" spans="1:3" x14ac:dyDescent="0.15">
      <c r="A833" s="1">
        <v>40976</v>
      </c>
      <c r="B833" t="s">
        <v>185</v>
      </c>
      <c r="C833" s="2" t="str">
        <f>HYPERLINK("http://snap.windin.com/ns/bulletin.php?id=140589&amp;type=1", "中国交建:首次公开发行A股股票招股说明书")</f>
        <v>中国交建:首次公开发行A股股票招股说明书</v>
      </c>
    </row>
    <row r="834" spans="1:3" x14ac:dyDescent="0.15">
      <c r="A834" s="1">
        <v>40976</v>
      </c>
      <c r="B834" t="s">
        <v>187</v>
      </c>
      <c r="C834" s="2" t="str">
        <f>HYPERLINK("http://snap.windin.com/ns/bulletin.php?id=107815&amp;type=1", "中泰桥梁:首次公开发行股票上市公告书")</f>
        <v>中泰桥梁:首次公开发行股票上市公告书</v>
      </c>
    </row>
    <row r="835" spans="1:3" x14ac:dyDescent="0.15">
      <c r="A835" s="1">
        <v>40975</v>
      </c>
      <c r="B835" t="s">
        <v>188</v>
      </c>
      <c r="C835" s="2" t="str">
        <f>HYPERLINK("http://snap.windin.com/ns/bulletin.php?id=2116234&amp;type=1", "蓝英装备:首次公开发行股票并在创业板上市公告书提示性公告")</f>
        <v>蓝英装备:首次公开发行股票并在创业板上市公告书提示性公告</v>
      </c>
    </row>
    <row r="836" spans="1:3" x14ac:dyDescent="0.15">
      <c r="A836" s="1">
        <v>40975</v>
      </c>
      <c r="B836" t="s">
        <v>167</v>
      </c>
      <c r="C836" s="2" t="str">
        <f>HYPERLINK("http://snap.windin.com/ns/bulletin.php?id=2069131&amp;type=1", "首航节能:首次公开发行股票招股意向书摘要")</f>
        <v>首航节能:首次公开发行股票招股意向书摘要</v>
      </c>
    </row>
    <row r="837" spans="1:3" x14ac:dyDescent="0.15">
      <c r="A837" s="1">
        <v>40975</v>
      </c>
      <c r="B837" t="s">
        <v>176</v>
      </c>
      <c r="C837" s="2" t="str">
        <f>HYPERLINK("http://snap.windin.com/ns/bulletin.php?id=1927910&amp;type=1", "富春通信:首次公开发行股票并在创业板上市招股说明书")</f>
        <v>富春通信:首次公开发行股票并在创业板上市招股说明书</v>
      </c>
    </row>
    <row r="838" spans="1:3" x14ac:dyDescent="0.15">
      <c r="A838" s="1">
        <v>40975</v>
      </c>
      <c r="B838" t="s">
        <v>167</v>
      </c>
      <c r="C838" s="2" t="str">
        <f>HYPERLINK("http://snap.windin.com/ns/bulletin.php?id=1808594&amp;type=1", "首航节能:首次公开发行股票招股意向书")</f>
        <v>首航节能:首次公开发行股票招股意向书</v>
      </c>
    </row>
    <row r="839" spans="1:3" x14ac:dyDescent="0.15">
      <c r="A839" s="1">
        <v>40975</v>
      </c>
      <c r="B839" t="s">
        <v>189</v>
      </c>
      <c r="C839" s="2" t="str">
        <f>HYPERLINK("http://snap.windin.com/ns/bulletin.php?id=1735832&amp;type=1", "博雅生物:首次公开发行股票并在创业板上市上市公告书")</f>
        <v>博雅生物:首次公开发行股票并在创业板上市上市公告书</v>
      </c>
    </row>
    <row r="840" spans="1:3" x14ac:dyDescent="0.15">
      <c r="A840" s="1">
        <v>40975</v>
      </c>
      <c r="B840" t="s">
        <v>188</v>
      </c>
      <c r="C840" s="2" t="str">
        <f>HYPERLINK("http://snap.windin.com/ns/bulletin.php?id=1599269&amp;type=1", "蓝英装备:首次公开发行股票并在创业板上市之上市公告书")</f>
        <v>蓝英装备:首次公开发行股票并在创业板上市之上市公告书</v>
      </c>
    </row>
    <row r="841" spans="1:3" x14ac:dyDescent="0.15">
      <c r="A841" s="1">
        <v>40975</v>
      </c>
      <c r="B841" t="s">
        <v>189</v>
      </c>
      <c r="C841" s="2" t="str">
        <f>HYPERLINK("http://snap.windin.com/ns/bulletin.php?id=1195872&amp;type=1", "博雅生物:首次公开发行股票并在创业板上市公告书提示性公告")</f>
        <v>博雅生物:首次公开发行股票并在创业板上市公告书提示性公告</v>
      </c>
    </row>
    <row r="842" spans="1:3" x14ac:dyDescent="0.15">
      <c r="A842" s="1">
        <v>40974</v>
      </c>
      <c r="B842" t="s">
        <v>175</v>
      </c>
      <c r="C842" s="2" t="str">
        <f>HYPERLINK("http://snap.windin.com/ns/bulletin.php?id=1722103&amp;type=1", "汉鼎股份:首次公开发行股票并在创业板上市招股说明书")</f>
        <v>汉鼎股份:首次公开发行股票并在创业板上市招股说明书</v>
      </c>
    </row>
    <row r="843" spans="1:3" x14ac:dyDescent="0.15">
      <c r="A843" s="1">
        <v>40974</v>
      </c>
      <c r="B843" t="s">
        <v>169</v>
      </c>
      <c r="C843" s="2" t="str">
        <f>HYPERLINK("http://snap.windin.com/ns/bulletin.php?id=1626463&amp;type=1", "德联集团:首次公开发行股票招股意向书")</f>
        <v>德联集团:首次公开发行股票招股意向书</v>
      </c>
    </row>
    <row r="844" spans="1:3" x14ac:dyDescent="0.15">
      <c r="A844" s="1">
        <v>40974</v>
      </c>
      <c r="B844" t="s">
        <v>169</v>
      </c>
      <c r="C844" s="2" t="str">
        <f>HYPERLINK("http://snap.windin.com/ns/bulletin.php?id=1571369&amp;type=1", "德联集团:首次公开发行股票招股意向书摘要")</f>
        <v>德联集团:首次公开发行股票招股意向书摘要</v>
      </c>
    </row>
    <row r="845" spans="1:3" x14ac:dyDescent="0.15">
      <c r="A845" s="1">
        <v>40974</v>
      </c>
      <c r="B845" t="s">
        <v>177</v>
      </c>
      <c r="C845" s="2" t="str">
        <f>HYPERLINK("http://snap.windin.com/ns/bulletin.php?id=959182&amp;type=1", "茂硕电源:首次公开发行股票招股说明书")</f>
        <v>茂硕电源:首次公开发行股票招股说明书</v>
      </c>
    </row>
    <row r="846" spans="1:3" x14ac:dyDescent="0.15">
      <c r="A846" s="1">
        <v>40974</v>
      </c>
      <c r="B846" t="s">
        <v>177</v>
      </c>
      <c r="C846" s="2" t="str">
        <f>HYPERLINK("http://snap.windin.com/ns/bulletin.php?id=125948&amp;type=1", "茂硕电源:首次公开发行股票招股说明书摘要")</f>
        <v>茂硕电源:首次公开发行股票招股说明书摘要</v>
      </c>
    </row>
    <row r="847" spans="1:3" x14ac:dyDescent="0.15">
      <c r="A847" s="1">
        <v>40973</v>
      </c>
      <c r="B847" t="s">
        <v>174</v>
      </c>
      <c r="C847" s="2" t="str">
        <f>HYPERLINK("http://snap.windin.com/ns/bulletin.php?id=955409&amp;type=1", "三诺生物:首次公开发行股票并在创业板上市招股说明书")</f>
        <v>三诺生物:首次公开发行股票并在创业板上市招股说明书</v>
      </c>
    </row>
    <row r="848" spans="1:3" x14ac:dyDescent="0.15">
      <c r="A848" s="1">
        <v>40973</v>
      </c>
      <c r="B848" t="s">
        <v>178</v>
      </c>
      <c r="C848" s="2" t="str">
        <f>HYPERLINK("http://snap.windin.com/ns/bulletin.php?id=626317&amp;type=1", "普邦园林:首次公开发行股票招股说明书摘要")</f>
        <v>普邦园林:首次公开发行股票招股说明书摘要</v>
      </c>
    </row>
    <row r="849" spans="1:3" x14ac:dyDescent="0.15">
      <c r="A849" s="1">
        <v>40973</v>
      </c>
      <c r="B849" t="s">
        <v>178</v>
      </c>
      <c r="C849" s="2" t="str">
        <f>HYPERLINK("http://snap.windin.com/ns/bulletin.php?id=587522&amp;type=1", "普邦园林:首次公开发行股票招股说明书")</f>
        <v>普邦园林:首次公开发行股票招股说明书</v>
      </c>
    </row>
    <row r="850" spans="1:3" x14ac:dyDescent="0.15">
      <c r="A850" s="1">
        <v>40970</v>
      </c>
      <c r="B850" t="s">
        <v>172</v>
      </c>
      <c r="C850" s="2" t="str">
        <f>HYPERLINK("http://snap.windin.com/ns/bulletin.php?id=2005801&amp;type=1", "云意电气:首次公开发行股票并在创业板上市招股意向书")</f>
        <v>云意电气:首次公开发行股票并在创业板上市招股意向书</v>
      </c>
    </row>
    <row r="851" spans="1:3" x14ac:dyDescent="0.15">
      <c r="A851" s="1">
        <v>40970</v>
      </c>
      <c r="B851" t="s">
        <v>180</v>
      </c>
      <c r="C851" s="2" t="str">
        <f>HYPERLINK("http://snap.windin.com/ns/bulletin.php?id=1761238&amp;type=1", "克明面业:首次公开发行股票招股说明书摘要")</f>
        <v>克明面业:首次公开发行股票招股说明书摘要</v>
      </c>
    </row>
    <row r="852" spans="1:3" x14ac:dyDescent="0.15">
      <c r="A852" s="1">
        <v>40970</v>
      </c>
      <c r="B852" t="s">
        <v>179</v>
      </c>
      <c r="C852" s="2" t="str">
        <f>HYPERLINK("http://snap.windin.com/ns/bulletin.php?id=1735237&amp;type=1", "信质电机:首次公开发行股票招股说明书摘要")</f>
        <v>信质电机:首次公开发行股票招股说明书摘要</v>
      </c>
    </row>
    <row r="853" spans="1:3" x14ac:dyDescent="0.15">
      <c r="A853" s="1">
        <v>40970</v>
      </c>
      <c r="B853" t="s">
        <v>182</v>
      </c>
      <c r="C853" s="2" t="str">
        <f>HYPERLINK("http://snap.windin.com/ns/bulletin.php?id=1619315&amp;type=1", "利亚德:首次公开发行股票并在创业板上市招股说明书")</f>
        <v>利亚德:首次公开发行股票并在创业板上市招股说明书</v>
      </c>
    </row>
    <row r="854" spans="1:3" x14ac:dyDescent="0.15">
      <c r="A854" s="1">
        <v>40970</v>
      </c>
      <c r="B854" t="s">
        <v>179</v>
      </c>
      <c r="C854" s="2" t="str">
        <f>HYPERLINK("http://snap.windin.com/ns/bulletin.php?id=1426424&amp;type=1", "信质电机:首次公开发行股票招股说明书")</f>
        <v>信质电机:首次公开发行股票招股说明书</v>
      </c>
    </row>
    <row r="855" spans="1:3" x14ac:dyDescent="0.15">
      <c r="A855" s="1">
        <v>40970</v>
      </c>
      <c r="B855" t="s">
        <v>180</v>
      </c>
      <c r="C855" s="2" t="str">
        <f>HYPERLINK("http://snap.windin.com/ns/bulletin.php?id=1426090&amp;type=1", "克明面业:首次公开发行股票招股说明书")</f>
        <v>克明面业:首次公开发行股票招股说明书</v>
      </c>
    </row>
    <row r="856" spans="1:3" x14ac:dyDescent="0.15">
      <c r="A856" s="1">
        <v>40970</v>
      </c>
      <c r="B856" t="s">
        <v>183</v>
      </c>
      <c r="C856" s="2" t="str">
        <f>HYPERLINK("http://snap.windin.com/ns/bulletin.php?id=1315789&amp;type=1", "蓝盾股份:首次公开发行股票并在创业板上市招股说明书")</f>
        <v>蓝盾股份:首次公开发行股票并在创业板上市招股说明书</v>
      </c>
    </row>
    <row r="857" spans="1:3" x14ac:dyDescent="0.15">
      <c r="A857" s="1">
        <v>40970</v>
      </c>
      <c r="B857" t="s">
        <v>170</v>
      </c>
      <c r="C857" s="2" t="str">
        <f>HYPERLINK("http://snap.windin.com/ns/bulletin.php?id=212225&amp;type=1", "同有科技:首次公开发行股票在创业板上市招股意向书")</f>
        <v>同有科技:首次公开发行股票在创业板上市招股意向书</v>
      </c>
    </row>
    <row r="858" spans="1:3" x14ac:dyDescent="0.15">
      <c r="A858" s="1">
        <v>40969</v>
      </c>
      <c r="B858" t="s">
        <v>187</v>
      </c>
      <c r="C858" s="2" t="str">
        <f>HYPERLINK("http://snap.windin.com/ns/bulletin.php?id=1668245&amp;type=1", "中泰桥梁:首次公开发行股票招股说明书摘要")</f>
        <v>中泰桥梁:首次公开发行股票招股说明书摘要</v>
      </c>
    </row>
    <row r="859" spans="1:3" x14ac:dyDescent="0.15">
      <c r="A859" s="1">
        <v>40969</v>
      </c>
      <c r="B859" t="s">
        <v>187</v>
      </c>
      <c r="C859" s="2" t="str">
        <f>HYPERLINK("http://snap.windin.com/ns/bulletin.php?id=410016&amp;type=1", "中泰桥梁:首次公开发行股票招股说明书")</f>
        <v>中泰桥梁:首次公开发行股票招股说明书</v>
      </c>
    </row>
    <row r="860" spans="1:3" x14ac:dyDescent="0.15">
      <c r="A860" s="1">
        <v>40968</v>
      </c>
      <c r="B860" t="s">
        <v>181</v>
      </c>
      <c r="C860" s="2" t="str">
        <f>HYPERLINK("http://snap.windin.com/ns/bulletin.php?id=1986848&amp;type=1", "三六五网:首次公开发行股票并在创业板上市招股说明书")</f>
        <v>三六五网:首次公开发行股票并在创业板上市招股说明书</v>
      </c>
    </row>
    <row r="861" spans="1:3" x14ac:dyDescent="0.15">
      <c r="A861" s="1">
        <v>40968</v>
      </c>
      <c r="B861" t="s">
        <v>176</v>
      </c>
      <c r="C861" s="2" t="str">
        <f>HYPERLINK("http://snap.windin.com/ns/bulletin.php?id=1947992&amp;type=1", "富春通信:首次公开发行股票并在创业板上市招股意向书")</f>
        <v>富春通信:首次公开发行股票并在创业板上市招股意向书</v>
      </c>
    </row>
    <row r="862" spans="1:3" x14ac:dyDescent="0.15">
      <c r="A862" s="1">
        <v>40968</v>
      </c>
      <c r="B862" t="s">
        <v>173</v>
      </c>
      <c r="C862" s="2" t="str">
        <f>HYPERLINK("http://snap.windin.com/ns/bulletin.php?id=632522&amp;type=1", "聚飞光电:首次公开发行股票并在创业板上市招股意向书")</f>
        <v>聚飞光电:首次公开发行股票并在创业板上市招股意向书</v>
      </c>
    </row>
    <row r="863" spans="1:3" x14ac:dyDescent="0.15">
      <c r="A863" s="1">
        <v>40967</v>
      </c>
      <c r="B863" t="s">
        <v>186</v>
      </c>
      <c r="C863" s="2" t="str">
        <f>HYPERLINK("http://snap.windin.com/ns/bulletin.php?id=1919638&amp;type=1", "雪迪龙:首次公开发行股票招股说明书摘要")</f>
        <v>雪迪龙:首次公开发行股票招股说明书摘要</v>
      </c>
    </row>
    <row r="864" spans="1:3" x14ac:dyDescent="0.15">
      <c r="A864" s="1">
        <v>40967</v>
      </c>
      <c r="B864" t="s">
        <v>184</v>
      </c>
      <c r="C864" s="2" t="str">
        <f>HYPERLINK("http://snap.windin.com/ns/bulletin.php?id=1868865&amp;type=1", "京威股份:首次公开发行股票招股说明书")</f>
        <v>京威股份:首次公开发行股票招股说明书</v>
      </c>
    </row>
    <row r="865" spans="1:3" x14ac:dyDescent="0.15">
      <c r="A865" s="1">
        <v>40967</v>
      </c>
      <c r="B865" t="s">
        <v>175</v>
      </c>
      <c r="C865" s="2" t="str">
        <f>HYPERLINK("http://snap.windin.com/ns/bulletin.php?id=1794178&amp;type=1", "汉鼎股份:首次公开发行股票并在创业板上市招股意向书")</f>
        <v>汉鼎股份:首次公开发行股票并在创业板上市招股意向书</v>
      </c>
    </row>
    <row r="866" spans="1:3" x14ac:dyDescent="0.15">
      <c r="A866" s="1">
        <v>40967</v>
      </c>
      <c r="B866" t="s">
        <v>184</v>
      </c>
      <c r="C866" s="2" t="str">
        <f>HYPERLINK("http://snap.windin.com/ns/bulletin.php?id=1505115&amp;type=1", "京威股份:首次公开发行股票招股说明书摘要")</f>
        <v>京威股份:首次公开发行股票招股说明书摘要</v>
      </c>
    </row>
    <row r="867" spans="1:3" x14ac:dyDescent="0.15">
      <c r="A867" s="1">
        <v>40967</v>
      </c>
      <c r="B867" t="s">
        <v>171</v>
      </c>
      <c r="C867" s="2" t="str">
        <f>HYPERLINK("http://snap.windin.com/ns/bulletin.php?id=1312048&amp;type=1", "长方照明:首次公开发行股票并在创业板上市招股意向书")</f>
        <v>长方照明:首次公开发行股票并在创业板上市招股意向书</v>
      </c>
    </row>
    <row r="868" spans="1:3" x14ac:dyDescent="0.15">
      <c r="A868" s="1">
        <v>40967</v>
      </c>
      <c r="B868" t="s">
        <v>190</v>
      </c>
      <c r="C868" s="2" t="str">
        <f>HYPERLINK("http://snap.windin.com/ns/bulletin.php?id=1106102&amp;type=1", "吴通通讯:首次公开发行股票并在创业板上市之上市公告书提示性公告")</f>
        <v>吴通通讯:首次公开发行股票并在创业板上市之上市公告书提示性公告</v>
      </c>
    </row>
    <row r="869" spans="1:3" x14ac:dyDescent="0.15">
      <c r="A869" s="1">
        <v>40967</v>
      </c>
      <c r="B869" t="s">
        <v>190</v>
      </c>
      <c r="C869" s="2" t="str">
        <f>HYPERLINK("http://snap.windin.com/ns/bulletin.php?id=955278&amp;type=1", "吴通通讯:首次公开发行股票并在创业板上市公告书")</f>
        <v>吴通通讯:首次公开发行股票并在创业板上市公告书</v>
      </c>
    </row>
    <row r="870" spans="1:3" x14ac:dyDescent="0.15">
      <c r="A870" s="1">
        <v>40967</v>
      </c>
      <c r="B870" t="s">
        <v>189</v>
      </c>
      <c r="C870" s="2" t="str">
        <f>HYPERLINK("http://snap.windin.com/ns/bulletin.php?id=415575&amp;type=1", "博雅生物:首次公开发行股票并在创业板上市招股说明书")</f>
        <v>博雅生物:首次公开发行股票并在创业板上市招股说明书</v>
      </c>
    </row>
    <row r="871" spans="1:3" x14ac:dyDescent="0.15">
      <c r="A871" s="1">
        <v>40967</v>
      </c>
      <c r="B871" t="s">
        <v>186</v>
      </c>
      <c r="C871" s="2" t="str">
        <f>HYPERLINK("http://snap.windin.com/ns/bulletin.php?id=96466&amp;type=1", "雪迪龙:首次公开发行股票招股说明书")</f>
        <v>雪迪龙:首次公开发行股票招股说明书</v>
      </c>
    </row>
    <row r="872" spans="1:3" x14ac:dyDescent="0.15">
      <c r="A872" s="1">
        <v>40966</v>
      </c>
      <c r="B872" t="s">
        <v>188</v>
      </c>
      <c r="C872" s="2" t="str">
        <f>HYPERLINK("http://snap.windin.com/ns/bulletin.php?id=2080367&amp;type=1", "蓝英装备:首次公开发行股票并在创业板上市招股说明书")</f>
        <v>蓝英装备:首次公开发行股票并在创业板上市招股说明书</v>
      </c>
    </row>
    <row r="873" spans="1:3" x14ac:dyDescent="0.15">
      <c r="A873" s="1">
        <v>40966</v>
      </c>
      <c r="B873" t="s">
        <v>191</v>
      </c>
      <c r="C873" s="2" t="str">
        <f>HYPERLINK("http://snap.windin.com/ns/bulletin.php?id=1952470&amp;type=1", "中科金财:首次公开发行股票上市公告书")</f>
        <v>中科金财:首次公开发行股票上市公告书</v>
      </c>
    </row>
    <row r="874" spans="1:3" x14ac:dyDescent="0.15">
      <c r="A874" s="1">
        <v>40966</v>
      </c>
      <c r="B874" t="s">
        <v>192</v>
      </c>
      <c r="C874" s="2" t="str">
        <f>HYPERLINK("http://snap.windin.com/ns/bulletin.php?id=1616942&amp;type=1", "卡奴迪路:首次公开发行股票上市公告书")</f>
        <v>卡奴迪路:首次公开发行股票上市公告书</v>
      </c>
    </row>
    <row r="875" spans="1:3" x14ac:dyDescent="0.15">
      <c r="A875" s="1">
        <v>40966</v>
      </c>
      <c r="B875" t="s">
        <v>177</v>
      </c>
      <c r="C875" s="2" t="str">
        <f>HYPERLINK("http://snap.windin.com/ns/bulletin.php?id=1410079&amp;type=1", "茂硕电源:首次公开发行股票招股意向书摘要")</f>
        <v>茂硕电源:首次公开发行股票招股意向书摘要</v>
      </c>
    </row>
    <row r="876" spans="1:3" x14ac:dyDescent="0.15">
      <c r="A876" s="1">
        <v>40966</v>
      </c>
      <c r="B876" t="s">
        <v>177</v>
      </c>
      <c r="C876" s="2" t="str">
        <f>HYPERLINK("http://snap.windin.com/ns/bulletin.php?id=185052&amp;type=1", "茂硕电源:首次公开发行股票招股意向书")</f>
        <v>茂硕电源:首次公开发行股票招股意向书</v>
      </c>
    </row>
    <row r="877" spans="1:3" x14ac:dyDescent="0.15">
      <c r="A877" s="1">
        <v>40963</v>
      </c>
      <c r="B877" t="s">
        <v>178</v>
      </c>
      <c r="C877" s="2" t="str">
        <f>HYPERLINK("http://snap.windin.com/ns/bulletin.php?id=2036918&amp;type=1", "普邦园林:首次公开发行股票招股意向书")</f>
        <v>普邦园林:首次公开发行股票招股意向书</v>
      </c>
    </row>
    <row r="878" spans="1:3" x14ac:dyDescent="0.15">
      <c r="A878" s="1">
        <v>40963</v>
      </c>
      <c r="B878" t="s">
        <v>179</v>
      </c>
      <c r="C878" s="2" t="str">
        <f>HYPERLINK("http://snap.windin.com/ns/bulletin.php?id=984053&amp;type=1", "信质电机:首次公开发行股票招股意向书摘要")</f>
        <v>信质电机:首次公开发行股票招股意向书摘要</v>
      </c>
    </row>
    <row r="879" spans="1:3" x14ac:dyDescent="0.15">
      <c r="A879" s="1">
        <v>40963</v>
      </c>
      <c r="B879" t="s">
        <v>174</v>
      </c>
      <c r="C879" s="2" t="str">
        <f>HYPERLINK("http://snap.windin.com/ns/bulletin.php?id=758834&amp;type=1", "三诺生物:首次公开发行股票并在创业板上市招股意向书")</f>
        <v>三诺生物:首次公开发行股票并在创业板上市招股意向书</v>
      </c>
    </row>
    <row r="880" spans="1:3" x14ac:dyDescent="0.15">
      <c r="A880" s="1">
        <v>40963</v>
      </c>
      <c r="B880" t="s">
        <v>178</v>
      </c>
      <c r="C880" s="2" t="str">
        <f>HYPERLINK("http://snap.windin.com/ns/bulletin.php?id=588532&amp;type=1", "普邦园林:首次公开发行股票招股意向书摘要")</f>
        <v>普邦园林:首次公开发行股票招股意向书摘要</v>
      </c>
    </row>
    <row r="881" spans="1:3" x14ac:dyDescent="0.15">
      <c r="A881" s="1">
        <v>40963</v>
      </c>
      <c r="B881" t="s">
        <v>179</v>
      </c>
      <c r="C881" s="2" t="str">
        <f>HYPERLINK("http://snap.windin.com/ns/bulletin.php?id=463850&amp;type=1", "信质电机:首次公开发行股票招股意向书")</f>
        <v>信质电机:首次公开发行股票招股意向书</v>
      </c>
    </row>
    <row r="882" spans="1:3" x14ac:dyDescent="0.15">
      <c r="A882" s="1">
        <v>40962</v>
      </c>
      <c r="B882" t="s">
        <v>180</v>
      </c>
      <c r="C882" s="2" t="str">
        <f>HYPERLINK("http://snap.windin.com/ns/bulletin.php?id=2103150&amp;type=1", "克明面业:首次公开发行股票招股意向书摘要")</f>
        <v>克明面业:首次公开发行股票招股意向书摘要</v>
      </c>
    </row>
    <row r="883" spans="1:3" x14ac:dyDescent="0.15">
      <c r="A883" s="1">
        <v>40962</v>
      </c>
      <c r="B883" t="s">
        <v>180</v>
      </c>
      <c r="C883" s="2" t="str">
        <f>HYPERLINK("http://snap.windin.com/ns/bulletin.php?id=1733963&amp;type=1", "克明面业:首次公开发行股票招股意向书")</f>
        <v>克明面业:首次公开发行股票招股意向书</v>
      </c>
    </row>
    <row r="884" spans="1:3" x14ac:dyDescent="0.15">
      <c r="A884" s="1">
        <v>40962</v>
      </c>
      <c r="B884" t="s">
        <v>183</v>
      </c>
      <c r="C884" s="2" t="str">
        <f>HYPERLINK("http://snap.windin.com/ns/bulletin.php?id=1707287&amp;type=1", "蓝盾股份:首次公开发行股票并在创业板上市招股意向书")</f>
        <v>蓝盾股份:首次公开发行股票并在创业板上市招股意向书</v>
      </c>
    </row>
    <row r="885" spans="1:3" x14ac:dyDescent="0.15">
      <c r="A885" s="1">
        <v>40961</v>
      </c>
      <c r="B885" t="s">
        <v>181</v>
      </c>
      <c r="C885" s="2" t="str">
        <f>HYPERLINK("http://snap.windin.com/ns/bulletin.php?id=1720764&amp;type=1", "三六五网:首次公开发行股票并在创业板上市招股意向书")</f>
        <v>三六五网:首次公开发行股票并在创业板上市招股意向书</v>
      </c>
    </row>
    <row r="886" spans="1:3" x14ac:dyDescent="0.15">
      <c r="A886" s="1">
        <v>40961</v>
      </c>
      <c r="B886" t="s">
        <v>193</v>
      </c>
      <c r="C886" s="2" t="str">
        <f>HYPERLINK("http://snap.windin.com/ns/bulletin.php?id=1589909&amp;type=1", "吉视传媒:首次公开发行股票（A股）上市公告书")</f>
        <v>吉视传媒:首次公开发行股票（A股）上市公告书</v>
      </c>
    </row>
    <row r="887" spans="1:3" x14ac:dyDescent="0.15">
      <c r="A887" s="1">
        <v>40961</v>
      </c>
      <c r="B887" t="s">
        <v>182</v>
      </c>
      <c r="C887" s="2" t="str">
        <f>HYPERLINK("http://snap.windin.com/ns/bulletin.php?id=1170456&amp;type=1", "利亚德:首次公开发行股票并在创业板上市招股意向书")</f>
        <v>利亚德:首次公开发行股票并在创业板上市招股意向书</v>
      </c>
    </row>
    <row r="888" spans="1:3" x14ac:dyDescent="0.15">
      <c r="A888" s="1">
        <v>40961</v>
      </c>
      <c r="B888" t="s">
        <v>193</v>
      </c>
      <c r="C888" s="2" t="str">
        <f>HYPERLINK("http://snap.windin.com/ns/bulletin.php?id=1104507&amp;type=1", "吉视传媒:首次公开发行股票（A股）招股说明书")</f>
        <v>吉视传媒:首次公开发行股票（A股）招股说明书</v>
      </c>
    </row>
    <row r="889" spans="1:3" x14ac:dyDescent="0.15">
      <c r="A889" s="1">
        <v>40959</v>
      </c>
      <c r="B889" t="s">
        <v>184</v>
      </c>
      <c r="C889" s="2" t="str">
        <f>HYPERLINK("http://snap.windin.com/ns/bulletin.php?id=1758192&amp;type=1", "京威股份:首次公开发行股票招股意向书")</f>
        <v>京威股份:首次公开发行股票招股意向书</v>
      </c>
    </row>
    <row r="890" spans="1:3" x14ac:dyDescent="0.15">
      <c r="A890" s="1">
        <v>40959</v>
      </c>
      <c r="B890" t="s">
        <v>187</v>
      </c>
      <c r="C890" s="2" t="str">
        <f>HYPERLINK("http://snap.windin.com/ns/bulletin.php?id=1685491&amp;type=1", "中泰桥梁:首次公开发行股票招股意向书摘要")</f>
        <v>中泰桥梁:首次公开发行股票招股意向书摘要</v>
      </c>
    </row>
    <row r="891" spans="1:3" x14ac:dyDescent="0.15">
      <c r="A891" s="1">
        <v>40959</v>
      </c>
      <c r="B891" t="s">
        <v>186</v>
      </c>
      <c r="C891" s="2" t="str">
        <f>HYPERLINK("http://snap.windin.com/ns/bulletin.php?id=1545031&amp;type=1", "雪迪龙:首次公开发行股票招股意向书摘要")</f>
        <v>雪迪龙:首次公开发行股票招股意向书摘要</v>
      </c>
    </row>
    <row r="892" spans="1:3" x14ac:dyDescent="0.15">
      <c r="A892" s="1">
        <v>40959</v>
      </c>
      <c r="B892" t="s">
        <v>186</v>
      </c>
      <c r="C892" s="2" t="str">
        <f>HYPERLINK("http://snap.windin.com/ns/bulletin.php?id=1452264&amp;type=1", "雪迪龙:首次公开发行股票招股意向书")</f>
        <v>雪迪龙:首次公开发行股票招股意向书</v>
      </c>
    </row>
    <row r="893" spans="1:3" x14ac:dyDescent="0.15">
      <c r="A893" s="1">
        <v>40959</v>
      </c>
      <c r="B893" t="s">
        <v>187</v>
      </c>
      <c r="C893" s="2" t="str">
        <f>HYPERLINK("http://snap.windin.com/ns/bulletin.php?id=1210478&amp;type=1", "中泰桥梁:首次公开发行股票招股意向书")</f>
        <v>中泰桥梁:首次公开发行股票招股意向书</v>
      </c>
    </row>
    <row r="894" spans="1:3" x14ac:dyDescent="0.15">
      <c r="A894" s="1">
        <v>40959</v>
      </c>
      <c r="B894" t="s">
        <v>190</v>
      </c>
      <c r="C894" s="2" t="str">
        <f>HYPERLINK("http://snap.windin.com/ns/bulletin.php?id=961376&amp;type=1", "吴通通讯:首次公开发行股票并在创业板上市招股说明书")</f>
        <v>吴通通讯:首次公开发行股票并在创业板上市招股说明书</v>
      </c>
    </row>
    <row r="895" spans="1:3" x14ac:dyDescent="0.15">
      <c r="A895" s="1">
        <v>40959</v>
      </c>
      <c r="B895" t="s">
        <v>184</v>
      </c>
      <c r="C895" s="2" t="str">
        <f>HYPERLINK("http://snap.windin.com/ns/bulletin.php?id=456555&amp;type=1", "京威股份:首次公开发行股票招股意向书摘要")</f>
        <v>京威股份:首次公开发行股票招股意向书摘要</v>
      </c>
    </row>
    <row r="896" spans="1:3" x14ac:dyDescent="0.15">
      <c r="A896" s="1">
        <v>40956</v>
      </c>
      <c r="B896" t="s">
        <v>194</v>
      </c>
      <c r="C896" s="2" t="str">
        <f>HYPERLINK("http://snap.windin.com/ns/bulletin.php?id=1901813&amp;type=1", "环旭电子:首次公开发行A股股票上市公告书")</f>
        <v>环旭电子:首次公开发行A股股票上市公告书</v>
      </c>
    </row>
    <row r="897" spans="1:3" x14ac:dyDescent="0.15">
      <c r="A897" s="1">
        <v>40956</v>
      </c>
      <c r="B897" t="s">
        <v>191</v>
      </c>
      <c r="C897" s="2" t="str">
        <f>HYPERLINK("http://snap.windin.com/ns/bulletin.php?id=1660331&amp;type=1", "中科金财:首次公开发行股票招股说明书")</f>
        <v>中科金财:首次公开发行股票招股说明书</v>
      </c>
    </row>
    <row r="898" spans="1:3" x14ac:dyDescent="0.15">
      <c r="A898" s="1">
        <v>40956</v>
      </c>
      <c r="B898" t="s">
        <v>191</v>
      </c>
      <c r="C898" s="2" t="str">
        <f>HYPERLINK("http://snap.windin.com/ns/bulletin.php?id=1580343&amp;type=1", "中科金财:首次公开发行股票招股说明书摘要")</f>
        <v>中科金财:首次公开发行股票招股说明书摘要</v>
      </c>
    </row>
    <row r="899" spans="1:3" x14ac:dyDescent="0.15">
      <c r="A899" s="1">
        <v>40956</v>
      </c>
      <c r="B899" t="s">
        <v>194</v>
      </c>
      <c r="C899" s="2" t="str">
        <f>HYPERLINK("http://snap.windin.com/ns/bulletin.php?id=782973&amp;type=1", "环旭电子:首次公开发行股票招股说明书")</f>
        <v>环旭电子:首次公开发行股票招股说明书</v>
      </c>
    </row>
    <row r="900" spans="1:3" x14ac:dyDescent="0.15">
      <c r="A900" s="1">
        <v>40956</v>
      </c>
      <c r="B900" t="s">
        <v>189</v>
      </c>
      <c r="C900" s="2" t="str">
        <f>HYPERLINK("http://snap.windin.com/ns/bulletin.php?id=766025&amp;type=1", "博雅生物:首次公开发行股票并在创业板上市招股意向书")</f>
        <v>博雅生物:首次公开发行股票并在创业板上市招股意向书</v>
      </c>
    </row>
    <row r="901" spans="1:3" x14ac:dyDescent="0.15">
      <c r="A901" s="1">
        <v>40955</v>
      </c>
      <c r="B901" t="s">
        <v>192</v>
      </c>
      <c r="C901" s="2" t="str">
        <f>HYPERLINK("http://snap.windin.com/ns/bulletin.php?id=2071928&amp;type=1", "卡奴迪路:首次公开发行股票招股说明书")</f>
        <v>卡奴迪路:首次公开发行股票招股说明书</v>
      </c>
    </row>
    <row r="902" spans="1:3" x14ac:dyDescent="0.15">
      <c r="A902" s="1">
        <v>40955</v>
      </c>
      <c r="B902" t="s">
        <v>192</v>
      </c>
      <c r="C902" s="2" t="str">
        <f>HYPERLINK("http://snap.windin.com/ns/bulletin.php?id=1910377&amp;type=1", "卡奴迪路:首次公开发行股票招股说明书摘要")</f>
        <v>卡奴迪路:首次公开发行股票招股说明书摘要</v>
      </c>
    </row>
    <row r="903" spans="1:3" x14ac:dyDescent="0.15">
      <c r="A903" s="1">
        <v>40955</v>
      </c>
      <c r="B903" t="s">
        <v>195</v>
      </c>
      <c r="C903" s="2" t="str">
        <f>HYPERLINK("http://snap.windin.com/ns/bulletin.php?id=1162823&amp;type=1", "共达电声:首次公开发行股票上市公告书")</f>
        <v>共达电声:首次公开发行股票上市公告书</v>
      </c>
    </row>
    <row r="904" spans="1:3" x14ac:dyDescent="0.15">
      <c r="A904" s="1">
        <v>40955</v>
      </c>
      <c r="B904" t="s">
        <v>196</v>
      </c>
      <c r="C904" s="2" t="str">
        <f>HYPERLINK("http://snap.windin.com/ns/bulletin.php?id=1058858&amp;type=1", "万润科技:首次公开发行股票上市公告书")</f>
        <v>万润科技:首次公开发行股票上市公告书</v>
      </c>
    </row>
    <row r="905" spans="1:3" x14ac:dyDescent="0.15">
      <c r="A905" s="1">
        <v>40955</v>
      </c>
      <c r="B905" t="s">
        <v>188</v>
      </c>
      <c r="C905" s="2" t="str">
        <f>HYPERLINK("http://snap.windin.com/ns/bulletin.php?id=993513&amp;type=1", "蓝英装备:首次公开发行股票并在创业板上市招股意向书")</f>
        <v>蓝英装备:首次公开发行股票并在创业板上市招股意向书</v>
      </c>
    </row>
    <row r="906" spans="1:3" x14ac:dyDescent="0.15">
      <c r="A906" s="1">
        <v>40954</v>
      </c>
      <c r="B906" t="s">
        <v>197</v>
      </c>
      <c r="C906" s="2" t="str">
        <f>HYPERLINK("http://snap.windin.com/ns/bulletin.php?id=1764024&amp;type=1", "荣科科技:首次公开发行股票并在创业板上市公告书提示性公告")</f>
        <v>荣科科技:首次公开发行股票并在创业板上市公告书提示性公告</v>
      </c>
    </row>
    <row r="907" spans="1:3" x14ac:dyDescent="0.15">
      <c r="A907" s="1">
        <v>40954</v>
      </c>
      <c r="B907" t="s">
        <v>198</v>
      </c>
      <c r="C907" s="2" t="str">
        <f>HYPERLINK("http://snap.windin.com/ns/bulletin.php?id=1259369&amp;type=1", "东风股份:首次公开发行A股股票上市公告书")</f>
        <v>东风股份:首次公开发行A股股票上市公告书</v>
      </c>
    </row>
    <row r="908" spans="1:3" x14ac:dyDescent="0.15">
      <c r="A908" s="1">
        <v>40954</v>
      </c>
      <c r="B908" t="s">
        <v>199</v>
      </c>
      <c r="C908" s="2" t="str">
        <f>HYPERLINK("http://snap.windin.com/ns/bulletin.php?id=959114&amp;type=1", "朗玛信息:首次公开发行股票并在创业板上市公告书提示性公告")</f>
        <v>朗玛信息:首次公开发行股票并在创业板上市公告书提示性公告</v>
      </c>
    </row>
    <row r="909" spans="1:3" x14ac:dyDescent="0.15">
      <c r="A909" s="1">
        <v>40954</v>
      </c>
      <c r="B909" t="s">
        <v>197</v>
      </c>
      <c r="C909" s="2" t="str">
        <f>HYPERLINK("http://snap.windin.com/ns/bulletin.php?id=941104&amp;type=1", "荣科科技:首次公开发行股票并在创业板上市公告书")</f>
        <v>荣科科技:首次公开发行股票并在创业板上市公告书</v>
      </c>
    </row>
    <row r="910" spans="1:3" x14ac:dyDescent="0.15">
      <c r="A910" s="1">
        <v>40954</v>
      </c>
      <c r="B910" t="s">
        <v>200</v>
      </c>
      <c r="C910" s="2" t="str">
        <f>HYPERLINK("http://snap.windin.com/ns/bulletin.php?id=774634&amp;type=1", "利德曼:首次公开发行股票并在创业板上市之上市公告书")</f>
        <v>利德曼:首次公开发行股票并在创业板上市之上市公告书</v>
      </c>
    </row>
    <row r="911" spans="1:3" x14ac:dyDescent="0.15">
      <c r="A911" s="1">
        <v>40954</v>
      </c>
      <c r="B911" t="s">
        <v>198</v>
      </c>
      <c r="C911" s="2" t="str">
        <f>HYPERLINK("http://snap.windin.com/ns/bulletin.php?id=594797&amp;type=1", "东风股份:首次公开发行股票招股说明书")</f>
        <v>东风股份:首次公开发行股票招股说明书</v>
      </c>
    </row>
    <row r="912" spans="1:3" x14ac:dyDescent="0.15">
      <c r="A912" s="1">
        <v>40954</v>
      </c>
      <c r="B912" t="s">
        <v>199</v>
      </c>
      <c r="C912" s="2" t="str">
        <f>HYPERLINK("http://snap.windin.com/ns/bulletin.php?id=408058&amp;type=1", "朗玛信息:首次公开发行股票上市公告书")</f>
        <v>朗玛信息:首次公开发行股票上市公告书</v>
      </c>
    </row>
    <row r="913" spans="1:3" x14ac:dyDescent="0.15">
      <c r="A913" s="1">
        <v>40949</v>
      </c>
      <c r="B913" t="s">
        <v>190</v>
      </c>
      <c r="C913" s="2" t="str">
        <f>HYPERLINK("http://snap.windin.com/ns/bulletin.php?id=1246470&amp;type=1", "吴通通讯:首次公开发行股票并在创业板上市招股意向书")</f>
        <v>吴通通讯:首次公开发行股票并在创业板上市招股意向书</v>
      </c>
    </row>
    <row r="914" spans="1:3" x14ac:dyDescent="0.15">
      <c r="A914" s="1">
        <v>40947</v>
      </c>
      <c r="B914" t="s">
        <v>191</v>
      </c>
      <c r="C914" s="2" t="str">
        <f>HYPERLINK("http://snap.windin.com/ns/bulletin.php?id=2108015&amp;type=1", "中科金财:首次公开发行股票招股意向书摘要")</f>
        <v>中科金财:首次公开发行股票招股意向书摘要</v>
      </c>
    </row>
    <row r="915" spans="1:3" x14ac:dyDescent="0.15">
      <c r="A915" s="1">
        <v>40947</v>
      </c>
      <c r="B915" t="s">
        <v>201</v>
      </c>
      <c r="C915" s="2" t="str">
        <f>HYPERLINK("http://snap.windin.com/ns/bulletin.php?id=2091862&amp;type=1", "华录百纳:首次公开发行股票并在创业板上市之上市公告书")</f>
        <v>华录百纳:首次公开发行股票并在创业板上市之上市公告书</v>
      </c>
    </row>
    <row r="916" spans="1:3" x14ac:dyDescent="0.15">
      <c r="A916" s="1">
        <v>40947</v>
      </c>
      <c r="B916" t="s">
        <v>191</v>
      </c>
      <c r="C916" s="2" t="str">
        <f>HYPERLINK("http://snap.windin.com/ns/bulletin.php?id=1609938&amp;type=1", "中科金财:首次公开发行股票招股意向书")</f>
        <v>中科金财:首次公开发行股票招股意向书</v>
      </c>
    </row>
    <row r="917" spans="1:3" x14ac:dyDescent="0.15">
      <c r="A917" s="1">
        <v>40947</v>
      </c>
      <c r="B917" t="s">
        <v>201</v>
      </c>
      <c r="C917" s="2" t="str">
        <f>HYPERLINK("http://snap.windin.com/ns/bulletin.php?id=1538077&amp;type=1", "华录百纳:首次公开发行股票并在创业板上市之上市公告书提示性公告")</f>
        <v>华录百纳:首次公开发行股票并在创业板上市之上市公告书提示性公告</v>
      </c>
    </row>
    <row r="918" spans="1:3" x14ac:dyDescent="0.15">
      <c r="A918" s="1">
        <v>40947</v>
      </c>
      <c r="B918" t="s">
        <v>195</v>
      </c>
      <c r="C918" s="2" t="str">
        <f>HYPERLINK("http://snap.windin.com/ns/bulletin.php?id=1350277&amp;type=1", "共达电声:首次公开发行股票招股说明书摘要")</f>
        <v>共达电声:首次公开发行股票招股说明书摘要</v>
      </c>
    </row>
    <row r="919" spans="1:3" x14ac:dyDescent="0.15">
      <c r="A919" s="1">
        <v>40947</v>
      </c>
      <c r="B919" t="s">
        <v>195</v>
      </c>
      <c r="C919" s="2" t="str">
        <f>HYPERLINK("http://snap.windin.com/ns/bulletin.php?id=1258801&amp;type=1", "共达电声:首次公开发行股票招股说明书摘要（更新后）")</f>
        <v>共达电声:首次公开发行股票招股说明书摘要（更新后）</v>
      </c>
    </row>
    <row r="920" spans="1:3" x14ac:dyDescent="0.15">
      <c r="A920" s="1">
        <v>40947</v>
      </c>
      <c r="B920" t="s">
        <v>195</v>
      </c>
      <c r="C920" s="2" t="str">
        <f>HYPERLINK("http://snap.windin.com/ns/bulletin.php?id=720646&amp;type=1", "共达电声:首次公开发行股票招股说明书（更新后）")</f>
        <v>共达电声:首次公开发行股票招股说明书（更新后）</v>
      </c>
    </row>
    <row r="921" spans="1:3" x14ac:dyDescent="0.15">
      <c r="A921" s="1">
        <v>40947</v>
      </c>
      <c r="B921" t="s">
        <v>195</v>
      </c>
      <c r="C921" s="2" t="str">
        <f>HYPERLINK("http://snap.windin.com/ns/bulletin.php?id=219030&amp;type=1", "共达电声:首次公开发行股票招股说明书")</f>
        <v>共达电声:首次公开发行股票招股说明书</v>
      </c>
    </row>
    <row r="922" spans="1:3" x14ac:dyDescent="0.15">
      <c r="A922" s="1">
        <v>40946</v>
      </c>
      <c r="B922" t="s">
        <v>199</v>
      </c>
      <c r="C922" s="2" t="str">
        <f>HYPERLINK("http://snap.windin.com/ns/bulletin.php?id=2002321&amp;type=1", "朗玛信息:首次公开发行股票并在创业板上市招股说明书")</f>
        <v>朗玛信息:首次公开发行股票并在创业板上市招股说明书</v>
      </c>
    </row>
    <row r="923" spans="1:3" x14ac:dyDescent="0.15">
      <c r="A923" s="1">
        <v>40946</v>
      </c>
      <c r="B923" t="s">
        <v>200</v>
      </c>
      <c r="C923" s="2" t="str">
        <f>HYPERLINK("http://snap.windin.com/ns/bulletin.php?id=1031907&amp;type=1", "利德曼:首次公开发行股票并在创业板上市招股说明书")</f>
        <v>利德曼:首次公开发行股票并在创业板上市招股说明书</v>
      </c>
    </row>
    <row r="924" spans="1:3" x14ac:dyDescent="0.15">
      <c r="A924" s="1">
        <v>40946</v>
      </c>
      <c r="B924" t="s">
        <v>197</v>
      </c>
      <c r="C924" s="2" t="str">
        <f>HYPERLINK("http://snap.windin.com/ns/bulletin.php?id=743175&amp;type=1", "荣科科技:首次公开发行股票并在创业板上市招股说明书")</f>
        <v>荣科科技:首次公开发行股票并在创业板上市招股说明书</v>
      </c>
    </row>
    <row r="925" spans="1:3" x14ac:dyDescent="0.15">
      <c r="A925" s="1">
        <v>40945</v>
      </c>
      <c r="B925" t="s">
        <v>192</v>
      </c>
      <c r="C925" s="2" t="str">
        <f>HYPERLINK("http://snap.windin.com/ns/bulletin.php?id=1400084&amp;type=1", "卡奴迪路:首次公开发行股票招股意向书")</f>
        <v>卡奴迪路:首次公开发行股票招股意向书</v>
      </c>
    </row>
    <row r="926" spans="1:3" x14ac:dyDescent="0.15">
      <c r="A926" s="1">
        <v>40945</v>
      </c>
      <c r="B926" t="s">
        <v>192</v>
      </c>
      <c r="C926" s="2" t="str">
        <f>HYPERLINK("http://snap.windin.com/ns/bulletin.php?id=579985&amp;type=1", "卡奴迪路:首次公开发行股票招股意向书摘要")</f>
        <v>卡奴迪路:首次公开发行股票招股意向书摘要</v>
      </c>
    </row>
    <row r="927" spans="1:3" x14ac:dyDescent="0.15">
      <c r="A927" s="1">
        <v>40942</v>
      </c>
      <c r="B927" t="s">
        <v>196</v>
      </c>
      <c r="C927" s="2" t="str">
        <f>HYPERLINK("http://snap.windin.com/ns/bulletin.php?id=2126116&amp;type=1", "万润科技:首次公开发行股票招股说明书")</f>
        <v>万润科技:首次公开发行股票招股说明书</v>
      </c>
    </row>
    <row r="928" spans="1:3" x14ac:dyDescent="0.15">
      <c r="A928" s="1">
        <v>40942</v>
      </c>
      <c r="B928" t="s">
        <v>196</v>
      </c>
      <c r="C928" s="2" t="str">
        <f>HYPERLINK("http://snap.windin.com/ns/bulletin.php?id=2114514&amp;type=1", "万润科技:首次公开发行股票招股说明书（更新后）")</f>
        <v>万润科技:首次公开发行股票招股说明书（更新后）</v>
      </c>
    </row>
    <row r="929" spans="1:3" x14ac:dyDescent="0.15">
      <c r="A929" s="1">
        <v>40942</v>
      </c>
      <c r="B929" t="s">
        <v>196</v>
      </c>
      <c r="C929" s="2" t="str">
        <f>HYPERLINK("http://snap.windin.com/ns/bulletin.php?id=865947&amp;type=1", "万润科技:首次公开发行股票招股说明书摘要")</f>
        <v>万润科技:首次公开发行股票招股说明书摘要</v>
      </c>
    </row>
    <row r="930" spans="1:3" x14ac:dyDescent="0.15">
      <c r="A930" s="1">
        <v>40942</v>
      </c>
      <c r="B930" t="s">
        <v>196</v>
      </c>
      <c r="C930" s="2" t="str">
        <f>HYPERLINK("http://snap.windin.com/ns/bulletin.php?id=446282&amp;type=1", "万润科技:首次公开发行股票招股说明书摘要（更新后）")</f>
        <v>万润科技:首次公开发行股票招股说明书摘要（更新后）</v>
      </c>
    </row>
    <row r="931" spans="1:3" x14ac:dyDescent="0.15">
      <c r="A931" s="1">
        <v>40939</v>
      </c>
      <c r="B931" t="s">
        <v>185</v>
      </c>
      <c r="C931" s="2" t="str">
        <f>HYPERLINK("http://snap.windin.com/ns/bulletin.php?id=1638064&amp;type=1", "中国交建:首次公开发行A股股票招股意向书附录一")</f>
        <v>中国交建:首次公开发行A股股票招股意向书附录一</v>
      </c>
    </row>
    <row r="932" spans="1:3" x14ac:dyDescent="0.15">
      <c r="A932" s="1">
        <v>40939</v>
      </c>
      <c r="B932" t="s">
        <v>202</v>
      </c>
      <c r="C932" s="2" t="str">
        <f>HYPERLINK("http://snap.windin.com/ns/bulletin.php?id=1629707&amp;type=1", "飞利信:首次公开发行股票并在创业板上市之上市公告书")</f>
        <v>飞利信:首次公开发行股票并在创业板上市之上市公告书</v>
      </c>
    </row>
    <row r="933" spans="1:3" x14ac:dyDescent="0.15">
      <c r="A933" s="1">
        <v>40939</v>
      </c>
      <c r="B933" t="s">
        <v>185</v>
      </c>
      <c r="C933" s="2" t="str">
        <f>HYPERLINK("http://snap.windin.com/ns/bulletin.php?id=1200694&amp;type=1", "中国交建:首次公开发行A股股票招股意向书附录二")</f>
        <v>中国交建:首次公开发行A股股票招股意向书附录二</v>
      </c>
    </row>
    <row r="934" spans="1:3" x14ac:dyDescent="0.15">
      <c r="A934" s="1">
        <v>40939</v>
      </c>
      <c r="B934" t="s">
        <v>185</v>
      </c>
      <c r="C934" s="2" t="str">
        <f>HYPERLINK("http://snap.windin.com/ns/bulletin.php?id=908298&amp;type=1", "中国交建:首次公开发行A股股票招股意向书")</f>
        <v>中国交建:首次公开发行A股股票招股意向书</v>
      </c>
    </row>
    <row r="935" spans="1:3" x14ac:dyDescent="0.15">
      <c r="A935" s="1">
        <v>40939</v>
      </c>
      <c r="B935" t="s">
        <v>185</v>
      </c>
      <c r="C935" s="2" t="str">
        <f>HYPERLINK("http://snap.windin.com/ns/bulletin.php?id=796506&amp;type=1", "中国交建:首次公开发行A股股票招股意向书摘要")</f>
        <v>中国交建:首次公开发行A股股票招股意向书摘要</v>
      </c>
    </row>
    <row r="936" spans="1:3" x14ac:dyDescent="0.15">
      <c r="A936" s="1">
        <v>40939</v>
      </c>
      <c r="B936" t="s">
        <v>195</v>
      </c>
      <c r="C936" s="2" t="str">
        <f>HYPERLINK("http://snap.windin.com/ns/bulletin.php?id=578672&amp;type=1", "共达电声:首次公开发行股票招股意向书摘要")</f>
        <v>共达电声:首次公开发行股票招股意向书摘要</v>
      </c>
    </row>
    <row r="937" spans="1:3" x14ac:dyDescent="0.15">
      <c r="A937" s="1">
        <v>40939</v>
      </c>
      <c r="B937" t="s">
        <v>202</v>
      </c>
      <c r="C937" s="2" t="str">
        <f>HYPERLINK("http://snap.windin.com/ns/bulletin.php?id=556073&amp;type=1", "飞利信:首次公开发行股票并在创业板上市上市公告书提示性公告")</f>
        <v>飞利信:首次公开发行股票并在创业板上市上市公告书提示性公告</v>
      </c>
    </row>
    <row r="938" spans="1:3" x14ac:dyDescent="0.15">
      <c r="A938" s="1">
        <v>40939</v>
      </c>
      <c r="B938" t="s">
        <v>185</v>
      </c>
      <c r="C938" s="2" t="str">
        <f>HYPERLINK("http://snap.windin.com/ns/bulletin.php?id=416852&amp;type=1", "中国交建:中国交建首次公开发行A股股票招股意向书附录三")</f>
        <v>中国交建:中国交建首次公开发行A股股票招股意向书附录三</v>
      </c>
    </row>
    <row r="939" spans="1:3" x14ac:dyDescent="0.15">
      <c r="A939" s="1">
        <v>40939</v>
      </c>
      <c r="B939" t="s">
        <v>201</v>
      </c>
      <c r="C939" s="2" t="str">
        <f>HYPERLINK("http://snap.windin.com/ns/bulletin.php?id=405030&amp;type=1", "华录百纳:首次公开发行股票并在创业板上市招股说明书")</f>
        <v>华录百纳:首次公开发行股票并在创业板上市招股说明书</v>
      </c>
    </row>
    <row r="940" spans="1:3" x14ac:dyDescent="0.15">
      <c r="A940" s="1">
        <v>40939</v>
      </c>
      <c r="B940" t="s">
        <v>195</v>
      </c>
      <c r="C940" s="2" t="str">
        <f>HYPERLINK("http://snap.windin.com/ns/bulletin.php?id=183871&amp;type=1", "共达电声:首次公开发行股票招股意向书")</f>
        <v>共达电声:首次公开发行股票招股意向书</v>
      </c>
    </row>
    <row r="941" spans="1:3" x14ac:dyDescent="0.15">
      <c r="A941" s="1">
        <v>40938</v>
      </c>
      <c r="B941" t="s">
        <v>193</v>
      </c>
      <c r="C941" s="2" t="str">
        <f>HYPERLINK("http://snap.windin.com/ns/bulletin.php?id=1895490&amp;type=1", "吉视传媒:首次公开发行股票（A股）招股意向书摘要")</f>
        <v>吉视传媒:首次公开发行股票（A股）招股意向书摘要</v>
      </c>
    </row>
    <row r="942" spans="1:3" x14ac:dyDescent="0.15">
      <c r="A942" s="1">
        <v>40938</v>
      </c>
      <c r="B942" t="s">
        <v>197</v>
      </c>
      <c r="C942" s="2" t="str">
        <f>HYPERLINK("http://snap.windin.com/ns/bulletin.php?id=1771087&amp;type=1", "荣科科技:首次公开发行股票并在创业板上市招股意向书")</f>
        <v>荣科科技:首次公开发行股票并在创业板上市招股意向书</v>
      </c>
    </row>
    <row r="943" spans="1:3" x14ac:dyDescent="0.15">
      <c r="A943" s="1">
        <v>40938</v>
      </c>
      <c r="B943" t="s">
        <v>200</v>
      </c>
      <c r="C943" s="2" t="str">
        <f>HYPERLINK("http://snap.windin.com/ns/bulletin.php?id=1637477&amp;type=1", "利德曼:首次公开发行股票并在创业板上市招股意向书")</f>
        <v>利德曼:首次公开发行股票并在创业板上市招股意向书</v>
      </c>
    </row>
    <row r="944" spans="1:3" x14ac:dyDescent="0.15">
      <c r="A944" s="1">
        <v>40938</v>
      </c>
      <c r="B944" t="s">
        <v>193</v>
      </c>
      <c r="C944" s="2" t="str">
        <f>HYPERLINK("http://snap.windin.com/ns/bulletin.php?id=1523870&amp;type=1", "吉视传媒:首次公开发行股票（A股）招股意向书")</f>
        <v>吉视传媒:首次公开发行股票（A股）招股意向书</v>
      </c>
    </row>
    <row r="945" spans="1:3" x14ac:dyDescent="0.15">
      <c r="A945" s="1">
        <v>40938</v>
      </c>
      <c r="B945" t="s">
        <v>193</v>
      </c>
      <c r="C945" s="2" t="str">
        <f>HYPERLINK("http://snap.windin.com/ns/bulletin.php?id=805072&amp;type=1", "吉视传媒:首次公开发行股票（A股）招股意向书附录")</f>
        <v>吉视传媒:首次公开发行股票（A股）招股意向书附录</v>
      </c>
    </row>
    <row r="946" spans="1:3" x14ac:dyDescent="0.15">
      <c r="A946" s="1">
        <v>40928</v>
      </c>
      <c r="B946" t="s">
        <v>198</v>
      </c>
      <c r="C946" s="2" t="str">
        <f>HYPERLINK("http://snap.windin.com/ns/bulletin.php?id=1842539&amp;type=1", "东风股份:首次公开发行股票招股意向书摘要")</f>
        <v>东风股份:首次公开发行股票招股意向书摘要</v>
      </c>
    </row>
    <row r="947" spans="1:3" x14ac:dyDescent="0.15">
      <c r="A947" s="1">
        <v>40928</v>
      </c>
      <c r="B947" t="s">
        <v>198</v>
      </c>
      <c r="C947" s="2" t="str">
        <f>HYPERLINK("http://snap.windin.com/ns/bulletin.php?id=1831128&amp;type=1", "东风股份:首次公开发行股票招股意向书")</f>
        <v>东风股份:首次公开发行股票招股意向书</v>
      </c>
    </row>
    <row r="948" spans="1:3" x14ac:dyDescent="0.15">
      <c r="A948" s="1">
        <v>40928</v>
      </c>
      <c r="B948" t="s">
        <v>198</v>
      </c>
      <c r="C948" s="2" t="str">
        <f>HYPERLINK("http://snap.windin.com/ns/bulletin.php?id=1726917&amp;type=1", "东风股份:首次公开发行股票招股意向书附录一")</f>
        <v>东风股份:首次公开发行股票招股意向书附录一</v>
      </c>
    </row>
    <row r="949" spans="1:3" x14ac:dyDescent="0.15">
      <c r="A949" s="1">
        <v>40928</v>
      </c>
      <c r="B949" t="s">
        <v>198</v>
      </c>
      <c r="C949" s="2" t="str">
        <f>HYPERLINK("http://snap.windin.com/ns/bulletin.php?id=1584686&amp;type=1", "东风股份:首次公开发行股票招股意向书附录三")</f>
        <v>东风股份:首次公开发行股票招股意向书附录三</v>
      </c>
    </row>
    <row r="950" spans="1:3" x14ac:dyDescent="0.15">
      <c r="A950" s="1">
        <v>40928</v>
      </c>
      <c r="B950" t="s">
        <v>198</v>
      </c>
      <c r="C950" s="2" t="str">
        <f>HYPERLINK("http://snap.windin.com/ns/bulletin.php?id=1485622&amp;type=1", "东风股份:首次公开发行股票招股意向书附录四")</f>
        <v>东风股份:首次公开发行股票招股意向书附录四</v>
      </c>
    </row>
    <row r="951" spans="1:3" x14ac:dyDescent="0.15">
      <c r="A951" s="1">
        <v>40928</v>
      </c>
      <c r="B951" t="s">
        <v>198</v>
      </c>
      <c r="C951" s="2" t="str">
        <f>HYPERLINK("http://snap.windin.com/ns/bulletin.php?id=949278&amp;type=1", "东风股份:首次公开发行股票招股意向书附录二")</f>
        <v>东风股份:首次公开发行股票招股意向书附录二</v>
      </c>
    </row>
    <row r="952" spans="1:3" x14ac:dyDescent="0.15">
      <c r="A952" s="1">
        <v>40927</v>
      </c>
      <c r="B952" t="s">
        <v>194</v>
      </c>
      <c r="C952" s="2" t="str">
        <f>HYPERLINK("http://snap.windin.com/ns/bulletin.php?id=1529043&amp;type=1", "环旭电子:首次公开发行股票招股意向书")</f>
        <v>环旭电子:首次公开发行股票招股意向书</v>
      </c>
    </row>
    <row r="953" spans="1:3" x14ac:dyDescent="0.15">
      <c r="A953" s="1">
        <v>40927</v>
      </c>
      <c r="B953" t="s">
        <v>194</v>
      </c>
      <c r="C953" s="2" t="str">
        <f>HYPERLINK("http://snap.windin.com/ns/bulletin.php?id=1448773&amp;type=1", "环旭电子:首次公开发行股票招股意向书附录二")</f>
        <v>环旭电子:首次公开发行股票招股意向书附录二</v>
      </c>
    </row>
    <row r="954" spans="1:3" x14ac:dyDescent="0.15">
      <c r="A954" s="1">
        <v>40927</v>
      </c>
      <c r="B954" t="s">
        <v>194</v>
      </c>
      <c r="C954" s="2" t="str">
        <f>HYPERLINK("http://snap.windin.com/ns/bulletin.php?id=1270038&amp;type=1", "环旭电子:首次公开发行股票招股意向书附录一")</f>
        <v>环旭电子:首次公开发行股票招股意向书附录一</v>
      </c>
    </row>
    <row r="955" spans="1:3" x14ac:dyDescent="0.15">
      <c r="A955" s="1">
        <v>40927</v>
      </c>
      <c r="B955" t="s">
        <v>194</v>
      </c>
      <c r="C955" s="2" t="str">
        <f>HYPERLINK("http://snap.windin.com/ns/bulletin.php?id=1152585&amp;type=1", "环旭电子:首次公开发行股票招股意向书附录三")</f>
        <v>环旭电子:首次公开发行股票招股意向书附录三</v>
      </c>
    </row>
    <row r="956" spans="1:3" x14ac:dyDescent="0.15">
      <c r="A956" s="1">
        <v>40927</v>
      </c>
      <c r="B956" t="s">
        <v>194</v>
      </c>
      <c r="C956" s="2" t="str">
        <f>HYPERLINK("http://snap.windin.com/ns/bulletin.php?id=444129&amp;type=1", "环旭电子:首次公开发行股票招股意向书摘要")</f>
        <v>环旭电子:首次公开发行股票招股意向书摘要</v>
      </c>
    </row>
    <row r="957" spans="1:3" x14ac:dyDescent="0.15">
      <c r="A957" s="1">
        <v>40927</v>
      </c>
      <c r="B957" t="s">
        <v>194</v>
      </c>
      <c r="C957" s="2" t="str">
        <f>HYPERLINK("http://snap.windin.com/ns/bulletin.php?id=227437&amp;type=1", "环旭电子:首次公开发行股票招股意向书附录四")</f>
        <v>环旭电子:首次公开发行股票招股意向书附录四</v>
      </c>
    </row>
    <row r="958" spans="1:3" x14ac:dyDescent="0.15">
      <c r="A958" s="1">
        <v>40926</v>
      </c>
      <c r="B958" t="s">
        <v>196</v>
      </c>
      <c r="C958" s="2" t="str">
        <f>HYPERLINK("http://snap.windin.com/ns/bulletin.php?id=1980393&amp;type=1", "万润科技:首次公开发行股票招股意向书摘要")</f>
        <v>万润科技:首次公开发行股票招股意向书摘要</v>
      </c>
    </row>
    <row r="959" spans="1:3" x14ac:dyDescent="0.15">
      <c r="A959" s="1">
        <v>40926</v>
      </c>
      <c r="B959" t="s">
        <v>196</v>
      </c>
      <c r="C959" s="2" t="str">
        <f>HYPERLINK("http://snap.windin.com/ns/bulletin.php?id=1808953&amp;type=1", "万润科技:首次公开发行股票招股意向书")</f>
        <v>万润科技:首次公开发行股票招股意向书</v>
      </c>
    </row>
    <row r="960" spans="1:3" x14ac:dyDescent="0.15">
      <c r="A960" s="1">
        <v>40926</v>
      </c>
      <c r="B960" t="s">
        <v>196</v>
      </c>
      <c r="C960" s="2" t="str">
        <f>HYPERLINK("http://snap.windin.com/ns/bulletin.php?id=1222231&amp;type=1", "万润科技:首次公开发行股票招股意向书（更新后）")</f>
        <v>万润科技:首次公开发行股票招股意向书（更新后）</v>
      </c>
    </row>
    <row r="961" spans="1:3" x14ac:dyDescent="0.15">
      <c r="A961" s="1">
        <v>40926</v>
      </c>
      <c r="B961" t="s">
        <v>203</v>
      </c>
      <c r="C961" s="2" t="str">
        <f>HYPERLINK("http://snap.windin.com/ns/bulletin.php?id=199449&amp;type=1", "扬子新材:首次公开发行股票上市公告书")</f>
        <v>扬子新材:首次公开发行股票上市公告书</v>
      </c>
    </row>
    <row r="962" spans="1:3" x14ac:dyDescent="0.15">
      <c r="A962" s="1">
        <v>40924</v>
      </c>
      <c r="B962" t="s">
        <v>204</v>
      </c>
      <c r="C962" s="2" t="str">
        <f>HYPERLINK("http://snap.windin.com/ns/bulletin.php?id=1408253&amp;type=1", "海思科:首次公开发行股票上市公告书")</f>
        <v>海思科:首次公开发行股票上市公告书</v>
      </c>
    </row>
    <row r="963" spans="1:3" x14ac:dyDescent="0.15">
      <c r="A963" s="1">
        <v>40921</v>
      </c>
      <c r="B963" t="s">
        <v>205</v>
      </c>
      <c r="C963" s="2" t="str">
        <f>HYPERLINK("http://snap.windin.com/ns/bulletin.php?id=2075674&amp;type=1", "江南嘉捷:首次公开发行股票招股说明书")</f>
        <v>江南嘉捷:首次公开发行股票招股说明书</v>
      </c>
    </row>
    <row r="964" spans="1:3" x14ac:dyDescent="0.15">
      <c r="A964" s="1">
        <v>40921</v>
      </c>
      <c r="B964" t="s">
        <v>205</v>
      </c>
      <c r="C964" s="2" t="str">
        <f>HYPERLINK("http://snap.windin.com/ns/bulletin.php?id=418193&amp;type=1", "江南嘉捷:首次公开发行A股股票上市公告书")</f>
        <v>江南嘉捷:首次公开发行A股股票上市公告书</v>
      </c>
    </row>
    <row r="965" spans="1:3" x14ac:dyDescent="0.15">
      <c r="A965" s="1">
        <v>40921</v>
      </c>
      <c r="B965" t="s">
        <v>202</v>
      </c>
      <c r="C965" s="2" t="str">
        <f>HYPERLINK("http://snap.windin.com/ns/bulletin.php?id=221766&amp;type=1", "飞利信:首次公开发行股票并在创业板上市招股说明书")</f>
        <v>飞利信:首次公开发行股票并在创业板上市招股说明书</v>
      </c>
    </row>
    <row r="966" spans="1:3" x14ac:dyDescent="0.15">
      <c r="A966" s="1">
        <v>40920</v>
      </c>
      <c r="B966" t="s">
        <v>206</v>
      </c>
      <c r="C966" s="2" t="str">
        <f>HYPERLINK("http://snap.windin.com/ns/bulletin.php?id=2012696&amp;type=1", "安科瑞:首次公开发行股票并在创业板上市之上市公告书")</f>
        <v>安科瑞:首次公开发行股票并在创业板上市之上市公告书</v>
      </c>
    </row>
    <row r="967" spans="1:3" x14ac:dyDescent="0.15">
      <c r="A967" s="1">
        <v>40920</v>
      </c>
      <c r="B967" t="s">
        <v>207</v>
      </c>
      <c r="C967" s="2" t="str">
        <f>HYPERLINK("http://snap.windin.com/ns/bulletin.php?id=1099662&amp;type=1", "国瓷材料:首次公开发行股票并在创业板上市公告书提示性公告")</f>
        <v>国瓷材料:首次公开发行股票并在创业板上市公告书提示性公告</v>
      </c>
    </row>
    <row r="968" spans="1:3" x14ac:dyDescent="0.15">
      <c r="A968" s="1">
        <v>40920</v>
      </c>
      <c r="B968" t="s">
        <v>206</v>
      </c>
      <c r="C968" s="2" t="str">
        <f>HYPERLINK("http://snap.windin.com/ns/bulletin.php?id=1018461&amp;type=1", "安科瑞:首次公开发行股票并在创业板上市上市公告书提示性公告")</f>
        <v>安科瑞:首次公开发行股票并在创业板上市上市公告书提示性公告</v>
      </c>
    </row>
    <row r="969" spans="1:3" x14ac:dyDescent="0.15">
      <c r="A969" s="1">
        <v>40920</v>
      </c>
      <c r="B969" t="s">
        <v>207</v>
      </c>
      <c r="C969" s="2" t="str">
        <f>HYPERLINK("http://snap.windin.com/ns/bulletin.php?id=483077&amp;type=1", "国瓷材料:首次公开发行股票并在创业板上市之上市公告书")</f>
        <v>国瓷材料:首次公开发行股票并在创业板上市之上市公告书</v>
      </c>
    </row>
    <row r="970" spans="1:3" x14ac:dyDescent="0.15">
      <c r="A970" s="1">
        <v>40919</v>
      </c>
      <c r="B970" t="s">
        <v>201</v>
      </c>
      <c r="C970" s="2" t="str">
        <f>HYPERLINK("http://snap.windin.com/ns/bulletin.php?id=142223&amp;type=1", "华录百纳:首次公开发行股票并在创业板上市招股意向书")</f>
        <v>华录百纳:首次公开发行股票并在创业板上市招股意向书</v>
      </c>
    </row>
    <row r="971" spans="1:3" x14ac:dyDescent="0.15">
      <c r="A971" s="1">
        <v>40918</v>
      </c>
      <c r="B971" t="s">
        <v>203</v>
      </c>
      <c r="C971" s="2" t="str">
        <f>HYPERLINK("http://snap.windin.com/ns/bulletin.php?id=1902215&amp;type=1", "扬子新材:首次公开发行股票招股说明书")</f>
        <v>扬子新材:首次公开发行股票招股说明书</v>
      </c>
    </row>
    <row r="972" spans="1:3" x14ac:dyDescent="0.15">
      <c r="A972" s="1">
        <v>40918</v>
      </c>
      <c r="B972" t="s">
        <v>203</v>
      </c>
      <c r="C972" s="2" t="str">
        <f>HYPERLINK("http://snap.windin.com/ns/bulletin.php?id=1689605&amp;type=1", "扬子新材:首次公开发行股票招股说明书摘要")</f>
        <v>扬子新材:首次公开发行股票招股说明书摘要</v>
      </c>
    </row>
    <row r="973" spans="1:3" x14ac:dyDescent="0.15">
      <c r="A973" s="1">
        <v>40917</v>
      </c>
      <c r="B973" t="s">
        <v>208</v>
      </c>
      <c r="C973" s="2" t="str">
        <f>HYPERLINK("http://snap.windin.com/ns/bulletin.php?id=1609215&amp;type=1", "温州宏丰:首次公开发行股票并在创业板上市上市公告书提示性公告")</f>
        <v>温州宏丰:首次公开发行股票并在创业板上市上市公告书提示性公告</v>
      </c>
    </row>
    <row r="974" spans="1:3" x14ac:dyDescent="0.15">
      <c r="A974" s="1">
        <v>40917</v>
      </c>
      <c r="B974" t="s">
        <v>209</v>
      </c>
      <c r="C974" s="2" t="str">
        <f>HYPERLINK("http://snap.windin.com/ns/bulletin.php?id=1206626&amp;type=1", "苏交科:首次公开发行股票并在创业板上市上市公告书提示公告")</f>
        <v>苏交科:首次公开发行股票并在创业板上市上市公告书提示公告</v>
      </c>
    </row>
    <row r="975" spans="1:3" x14ac:dyDescent="0.15">
      <c r="A975" s="1">
        <v>40917</v>
      </c>
      <c r="B975" t="s">
        <v>208</v>
      </c>
      <c r="C975" s="2" t="str">
        <f>HYPERLINK("http://snap.windin.com/ns/bulletin.php?id=685324&amp;type=1", "温州宏丰:首次公开发行股票并在创业板上市之上市公告书")</f>
        <v>温州宏丰:首次公开发行股票并在创业板上市之上市公告书</v>
      </c>
    </row>
    <row r="976" spans="1:3" x14ac:dyDescent="0.15">
      <c r="A976" s="1">
        <v>40917</v>
      </c>
      <c r="B976" t="s">
        <v>209</v>
      </c>
      <c r="C976" s="2" t="str">
        <f>HYPERLINK("http://snap.windin.com/ns/bulletin.php?id=625393&amp;type=1", "苏交科:首次公开发行股票并在创业板上市公告书")</f>
        <v>苏交科:首次公开发行股票并在创业板上市公告书</v>
      </c>
    </row>
    <row r="977" spans="1:3" x14ac:dyDescent="0.15">
      <c r="A977" s="1">
        <v>40914</v>
      </c>
      <c r="B977" t="s">
        <v>199</v>
      </c>
      <c r="C977" s="2" t="str">
        <f>HYPERLINK("http://snap.windin.com/ns/bulletin.php?id=1557502&amp;type=1", "朗玛信息:首次公开发行股票并在创业板上市招股意向书")</f>
        <v>朗玛信息:首次公开发行股票并在创业板上市招股意向书</v>
      </c>
    </row>
    <row r="978" spans="1:3" x14ac:dyDescent="0.15">
      <c r="A978" s="1">
        <v>40914</v>
      </c>
      <c r="B978" t="s">
        <v>204</v>
      </c>
      <c r="C978" s="2" t="str">
        <f>HYPERLINK("http://snap.windin.com/ns/bulletin.php?id=1177237&amp;type=1", "海思科:首次公开发行股票招股说明书")</f>
        <v>海思科:首次公开发行股票招股说明书</v>
      </c>
    </row>
    <row r="979" spans="1:3" x14ac:dyDescent="0.15">
      <c r="A979" s="1">
        <v>40914</v>
      </c>
      <c r="B979" t="s">
        <v>204</v>
      </c>
      <c r="C979" s="2" t="str">
        <f>HYPERLINK("http://snap.windin.com/ns/bulletin.php?id=731558&amp;type=1", "海思科:首次公开发行股票招股说明书摘要")</f>
        <v>海思科:首次公开发行股票招股说明书摘要</v>
      </c>
    </row>
    <row r="980" spans="1:3" x14ac:dyDescent="0.15">
      <c r="A980" s="1">
        <v>40914</v>
      </c>
      <c r="B980" t="s">
        <v>202</v>
      </c>
      <c r="C980" s="2" t="str">
        <f>HYPERLINK("http://snap.windin.com/ns/bulletin.php?id=594027&amp;type=1", "飞利信:首次公开发行股票并在创业板上市招股意向书")</f>
        <v>飞利信:首次公开发行股票并在创业板上市招股意向书</v>
      </c>
    </row>
    <row r="981" spans="1:3" x14ac:dyDescent="0.15">
      <c r="A981" s="1">
        <v>40913</v>
      </c>
      <c r="B981" t="s">
        <v>210</v>
      </c>
      <c r="C981" s="2" t="str">
        <f>HYPERLINK("http://snap.windin.com/ns/bulletin.php?id=1695182&amp;type=1", "利君股份:首次公开发行股票上市公告书")</f>
        <v>利君股份:首次公开发行股票上市公告书</v>
      </c>
    </row>
    <row r="982" spans="1:3" x14ac:dyDescent="0.15">
      <c r="A982" s="1">
        <v>40913</v>
      </c>
      <c r="B982" t="s">
        <v>211</v>
      </c>
      <c r="C982" s="2" t="str">
        <f>HYPERLINK("http://snap.windin.com/ns/bulletin.php?id=1527100&amp;type=1", "加加食品:首次公开发行股票上市公告书")</f>
        <v>加加食品:首次公开发行股票上市公告书</v>
      </c>
    </row>
    <row r="983" spans="1:3" x14ac:dyDescent="0.15">
      <c r="A983" s="1">
        <v>40913</v>
      </c>
      <c r="B983" t="s">
        <v>212</v>
      </c>
      <c r="C983" s="2" t="str">
        <f>HYPERLINK("http://snap.windin.com/ns/bulletin.php?id=1423370&amp;type=1", "博彦科技:首次公开发行股票上市公告书")</f>
        <v>博彦科技:首次公开发行股票上市公告书</v>
      </c>
    </row>
    <row r="984" spans="1:3" x14ac:dyDescent="0.15">
      <c r="A984" s="1">
        <v>40907</v>
      </c>
      <c r="B984" t="s">
        <v>203</v>
      </c>
      <c r="C984" s="2" t="str">
        <f>HYPERLINK("http://snap.windin.com/ns/bulletin.php?id=2024476&amp;type=1", "扬子新材:首次公开发行股票招股意向书")</f>
        <v>扬子新材:首次公开发行股票招股意向书</v>
      </c>
    </row>
    <row r="985" spans="1:3" x14ac:dyDescent="0.15">
      <c r="A985" s="1">
        <v>40907</v>
      </c>
      <c r="B985" t="s">
        <v>207</v>
      </c>
      <c r="C985" s="2" t="str">
        <f>HYPERLINK("http://snap.windin.com/ns/bulletin.php?id=1891649&amp;type=1", "国瓷材料:首次公开发行股票并在创业板上市招股说明书")</f>
        <v>国瓷材料:首次公开发行股票并在创业板上市招股说明书</v>
      </c>
    </row>
    <row r="986" spans="1:3" x14ac:dyDescent="0.15">
      <c r="A986" s="1">
        <v>40907</v>
      </c>
      <c r="B986" t="s">
        <v>206</v>
      </c>
      <c r="C986" s="2" t="str">
        <f>HYPERLINK("http://snap.windin.com/ns/bulletin.php?id=1557274&amp;type=1", "安科瑞:首次公开发行股票并在创业板上市招股说明书")</f>
        <v>安科瑞:首次公开发行股票并在创业板上市招股说明书</v>
      </c>
    </row>
    <row r="987" spans="1:3" x14ac:dyDescent="0.15">
      <c r="A987" s="1">
        <v>40907</v>
      </c>
      <c r="B987" t="s">
        <v>203</v>
      </c>
      <c r="C987" s="2" t="str">
        <f>HYPERLINK("http://snap.windin.com/ns/bulletin.php?id=987445&amp;type=1", "扬子新材:首次公开发行股票招股意向书摘要")</f>
        <v>扬子新材:首次公开发行股票招股意向书摘要</v>
      </c>
    </row>
    <row r="988" spans="1:3" x14ac:dyDescent="0.15">
      <c r="A988" s="1">
        <v>40905</v>
      </c>
      <c r="B988" t="s">
        <v>213</v>
      </c>
      <c r="C988" s="2" t="str">
        <f>HYPERLINK("http://snap.windin.com/ns/bulletin.php?id=1755755&amp;type=1", "金明精机:首次公开发行股票并在创业板上市公告书")</f>
        <v>金明精机:首次公开发行股票并在创业板上市公告书</v>
      </c>
    </row>
    <row r="989" spans="1:3" x14ac:dyDescent="0.15">
      <c r="A989" s="1">
        <v>40905</v>
      </c>
      <c r="B989" t="s">
        <v>214</v>
      </c>
      <c r="C989" s="2" t="str">
        <f>HYPERLINK("http://snap.windin.com/ns/bulletin.php?id=1553936&amp;type=1", "汇冠股份:首次公开发行股票并在创业板上市上市公告书")</f>
        <v>汇冠股份:首次公开发行股票并在创业板上市上市公告书</v>
      </c>
    </row>
    <row r="990" spans="1:3" x14ac:dyDescent="0.15">
      <c r="A990" s="1">
        <v>40905</v>
      </c>
      <c r="B990" t="s">
        <v>215</v>
      </c>
      <c r="C990" s="2" t="str">
        <f>HYPERLINK("http://snap.windin.com/ns/bulletin.php?id=1506378&amp;type=1", "南通锻压:首次公开发行股票并在创业板上市之上市公告书")</f>
        <v>南通锻压:首次公开发行股票并在创业板上市之上市公告书</v>
      </c>
    </row>
    <row r="991" spans="1:3" x14ac:dyDescent="0.15">
      <c r="A991" s="1">
        <v>40905</v>
      </c>
      <c r="B991" t="s">
        <v>216</v>
      </c>
      <c r="C991" s="2" t="str">
        <f>HYPERLINK("http://snap.windin.com/ns/bulletin.php?id=1418989&amp;type=1", "和晶科技:首次公开发行股票并在创业板上市上市公告书")</f>
        <v>和晶科技:首次公开发行股票并在创业板上市上市公告书</v>
      </c>
    </row>
    <row r="992" spans="1:3" x14ac:dyDescent="0.15">
      <c r="A992" s="1">
        <v>40905</v>
      </c>
      <c r="B992" t="s">
        <v>213</v>
      </c>
      <c r="C992" s="2" t="str">
        <f>HYPERLINK("http://snap.windin.com/ns/bulletin.php?id=545053&amp;type=1", "金明精机:首次公开发行股票并在创业板上市上市公告书提示公告")</f>
        <v>金明精机:首次公开发行股票并在创业板上市上市公告书提示公告</v>
      </c>
    </row>
    <row r="993" spans="1:3" x14ac:dyDescent="0.15">
      <c r="A993" s="1">
        <v>40905</v>
      </c>
      <c r="B993" t="s">
        <v>216</v>
      </c>
      <c r="C993" s="2" t="str">
        <f>HYPERLINK("http://snap.windin.com/ns/bulletin.php?id=454129&amp;type=1", "和晶科技:首次公开发行股票并在创业板上市上市公告书提示性公告")</f>
        <v>和晶科技:首次公开发行股票并在创业板上市上市公告书提示性公告</v>
      </c>
    </row>
    <row r="994" spans="1:3" x14ac:dyDescent="0.15">
      <c r="A994" s="1">
        <v>40905</v>
      </c>
      <c r="B994" t="s">
        <v>214</v>
      </c>
      <c r="C994" s="2" t="str">
        <f>HYPERLINK("http://snap.windin.com/ns/bulletin.php?id=172158&amp;type=1", "汇冠股份:首次公开发行股票并在创业板上市上市公告书提示性公告")</f>
        <v>汇冠股份:首次公开发行股票并在创业板上市上市公告书提示性公告</v>
      </c>
    </row>
    <row r="995" spans="1:3" x14ac:dyDescent="0.15">
      <c r="A995" s="1">
        <v>40904</v>
      </c>
      <c r="B995" t="s">
        <v>205</v>
      </c>
      <c r="C995" s="2" t="str">
        <f>HYPERLINK("http://snap.windin.com/ns/bulletin.php?id=1949128&amp;type=1", "江南嘉捷:首次公开发行A股股票招股意向书附录一")</f>
        <v>江南嘉捷:首次公开发行A股股票招股意向书附录一</v>
      </c>
    </row>
    <row r="996" spans="1:3" x14ac:dyDescent="0.15">
      <c r="A996" s="1">
        <v>40904</v>
      </c>
      <c r="B996" t="s">
        <v>205</v>
      </c>
      <c r="C996" s="2" t="str">
        <f>HYPERLINK("http://snap.windin.com/ns/bulletin.php?id=1905355&amp;type=1", "江南嘉捷:首次公开发行A股股票招股意向书附录三")</f>
        <v>江南嘉捷:首次公开发行A股股票招股意向书附录三</v>
      </c>
    </row>
    <row r="997" spans="1:3" x14ac:dyDescent="0.15">
      <c r="A997" s="1">
        <v>40904</v>
      </c>
      <c r="B997" t="s">
        <v>205</v>
      </c>
      <c r="C997" s="2" t="str">
        <f>HYPERLINK("http://snap.windin.com/ns/bulletin.php?id=1791051&amp;type=1", "江南嘉捷:首次公开发行A股股票招股意向书附录四")</f>
        <v>江南嘉捷:首次公开发行A股股票招股意向书附录四</v>
      </c>
    </row>
    <row r="998" spans="1:3" x14ac:dyDescent="0.15">
      <c r="A998" s="1">
        <v>40904</v>
      </c>
      <c r="B998" t="s">
        <v>205</v>
      </c>
      <c r="C998" s="2" t="str">
        <f>HYPERLINK("http://snap.windin.com/ns/bulletin.php?id=1719107&amp;type=1", "江南嘉捷:首次公开发行A股股票招股意向书附录二")</f>
        <v>江南嘉捷:首次公开发行A股股票招股意向书附录二</v>
      </c>
    </row>
    <row r="999" spans="1:3" x14ac:dyDescent="0.15">
      <c r="A999" s="1">
        <v>40904</v>
      </c>
      <c r="B999" t="s">
        <v>205</v>
      </c>
      <c r="C999" s="2" t="str">
        <f>HYPERLINK("http://snap.windin.com/ns/bulletin.php?id=1580860&amp;type=1", "江南嘉捷:首次公开发行股票招股意向书")</f>
        <v>江南嘉捷:首次公开发行股票招股意向书</v>
      </c>
    </row>
    <row r="1000" spans="1:3" x14ac:dyDescent="0.15">
      <c r="A1000" s="1">
        <v>40904</v>
      </c>
      <c r="B1000" t="s">
        <v>204</v>
      </c>
      <c r="C1000" s="2" t="str">
        <f>HYPERLINK("http://snap.windin.com/ns/bulletin.php?id=1579620&amp;type=1", "海思科:首次公开发行股票招股意向书")</f>
        <v>海思科:首次公开发行股票招股意向书</v>
      </c>
    </row>
    <row r="1001" spans="1:3" x14ac:dyDescent="0.15">
      <c r="A1001" s="1">
        <v>40904</v>
      </c>
      <c r="B1001" t="s">
        <v>217</v>
      </c>
      <c r="C1001" s="2" t="str">
        <f>HYPERLINK("http://snap.windin.com/ns/bulletin.php?id=1332226&amp;type=1", "卫星石化:首次公开发行股票上市公告书")</f>
        <v>卫星石化:首次公开发行股票上市公告书</v>
      </c>
    </row>
    <row r="1002" spans="1:3" x14ac:dyDescent="0.15">
      <c r="A1002" s="1">
        <v>40904</v>
      </c>
      <c r="B1002" t="s">
        <v>205</v>
      </c>
      <c r="C1002" s="2" t="str">
        <f>HYPERLINK("http://snap.windin.com/ns/bulletin.php?id=1022479&amp;type=1", "江南嘉捷:首次公开发行股票招股意向书摘要")</f>
        <v>江南嘉捷:首次公开发行股票招股意向书摘要</v>
      </c>
    </row>
    <row r="1003" spans="1:3" x14ac:dyDescent="0.15">
      <c r="A1003" s="1">
        <v>40904</v>
      </c>
      <c r="B1003" t="s">
        <v>218</v>
      </c>
      <c r="C1003" s="2" t="str">
        <f>HYPERLINK("http://snap.windin.com/ns/bulletin.php?id=966585&amp;type=1", "宏磊股份:首次公开发行股票并在中小板上市上市公告书")</f>
        <v>宏磊股份:首次公开发行股票并在中小板上市上市公告书</v>
      </c>
    </row>
    <row r="1004" spans="1:3" x14ac:dyDescent="0.15">
      <c r="A1004" s="1">
        <v>40904</v>
      </c>
      <c r="B1004" t="s">
        <v>204</v>
      </c>
      <c r="C1004" s="2" t="str">
        <f>HYPERLINK("http://snap.windin.com/ns/bulletin.php?id=905620&amp;type=1", "海思科:首次公开发行股票招股意向书摘要")</f>
        <v>海思科:首次公开发行股票招股意向书摘要</v>
      </c>
    </row>
    <row r="1005" spans="1:3" x14ac:dyDescent="0.15">
      <c r="A1005" s="1">
        <v>40904</v>
      </c>
      <c r="B1005" t="s">
        <v>208</v>
      </c>
      <c r="C1005" s="2" t="str">
        <f>HYPERLINK("http://snap.windin.com/ns/bulletin.php?id=110807&amp;type=1", "温州宏丰:首次公开发行股票并在创业板上市招股说明书")</f>
        <v>温州宏丰:首次公开发行股票并在创业板上市招股说明书</v>
      </c>
    </row>
    <row r="1006" spans="1:3" x14ac:dyDescent="0.15">
      <c r="A1006" s="1">
        <v>40903</v>
      </c>
      <c r="B1006" t="s">
        <v>209</v>
      </c>
      <c r="C1006" s="2" t="str">
        <f>HYPERLINK("http://snap.windin.com/ns/bulletin.php?id=204280&amp;type=1", "苏交科:首次公开发行股票并在创业板上市招股说明书")</f>
        <v>苏交科:首次公开发行股票并在创业板上市招股说明书</v>
      </c>
    </row>
    <row r="1007" spans="1:3" x14ac:dyDescent="0.15">
      <c r="A1007" s="1">
        <v>40900</v>
      </c>
      <c r="B1007" t="s">
        <v>206</v>
      </c>
      <c r="C1007" s="2" t="str">
        <f>HYPERLINK("http://snap.windin.com/ns/bulletin.php?id=2018764&amp;type=1", "安科瑞:首次公开发行股票并在创业板上市招股意向书")</f>
        <v>安科瑞:首次公开发行股票并在创业板上市招股意向书</v>
      </c>
    </row>
    <row r="1008" spans="1:3" x14ac:dyDescent="0.15">
      <c r="A1008" s="1">
        <v>40900</v>
      </c>
      <c r="B1008" t="s">
        <v>210</v>
      </c>
      <c r="C1008" s="2" t="str">
        <f>HYPERLINK("http://snap.windin.com/ns/bulletin.php?id=1716166&amp;type=1", "利君股份:首次公开发行股票招股说明书")</f>
        <v>利君股份:首次公开发行股票招股说明书</v>
      </c>
    </row>
    <row r="1009" spans="1:3" x14ac:dyDescent="0.15">
      <c r="A1009" s="1">
        <v>40900</v>
      </c>
      <c r="B1009" t="s">
        <v>212</v>
      </c>
      <c r="C1009" s="2" t="str">
        <f>HYPERLINK("http://snap.windin.com/ns/bulletin.php?id=1446704&amp;type=1", "博彦科技:首次公开发行股票招股说明书摘要")</f>
        <v>博彦科技:首次公开发行股票招股说明书摘要</v>
      </c>
    </row>
    <row r="1010" spans="1:3" x14ac:dyDescent="0.15">
      <c r="A1010" s="1">
        <v>40900</v>
      </c>
      <c r="B1010" t="s">
        <v>211</v>
      </c>
      <c r="C1010" s="2" t="str">
        <f>HYPERLINK("http://snap.windin.com/ns/bulletin.php?id=1387274&amp;type=1", "加加食品:首次公开发行股票招股说明书")</f>
        <v>加加食品:首次公开发行股票招股说明书</v>
      </c>
    </row>
    <row r="1011" spans="1:3" x14ac:dyDescent="0.15">
      <c r="A1011" s="1">
        <v>40900</v>
      </c>
      <c r="B1011" t="s">
        <v>211</v>
      </c>
      <c r="C1011" s="2" t="str">
        <f>HYPERLINK("http://snap.windin.com/ns/bulletin.php?id=1264431&amp;type=1", "加加食品:首次公开发行股票招股说明书摘要")</f>
        <v>加加食品:首次公开发行股票招股说明书摘要</v>
      </c>
    </row>
    <row r="1012" spans="1:3" x14ac:dyDescent="0.15">
      <c r="A1012" s="1">
        <v>40900</v>
      </c>
      <c r="B1012" t="s">
        <v>212</v>
      </c>
      <c r="C1012" s="2" t="str">
        <f>HYPERLINK("http://snap.windin.com/ns/bulletin.php?id=1131998&amp;type=1", "博彦科技:首次公开发行股票招股说明书")</f>
        <v>博彦科技:首次公开发行股票招股说明书</v>
      </c>
    </row>
    <row r="1013" spans="1:3" x14ac:dyDescent="0.15">
      <c r="A1013" s="1">
        <v>40900</v>
      </c>
      <c r="B1013" t="s">
        <v>210</v>
      </c>
      <c r="C1013" s="2" t="str">
        <f>HYPERLINK("http://snap.windin.com/ns/bulletin.php?id=480332&amp;type=1", "利君股份:首次公开发行股票招股说明书摘要")</f>
        <v>利君股份:首次公开发行股票招股说明书摘要</v>
      </c>
    </row>
    <row r="1014" spans="1:3" x14ac:dyDescent="0.15">
      <c r="A1014" s="1">
        <v>40900</v>
      </c>
      <c r="B1014" t="s">
        <v>207</v>
      </c>
      <c r="C1014" s="2" t="str">
        <f>HYPERLINK("http://snap.windin.com/ns/bulletin.php?id=83991&amp;type=1", "国瓷材料:首次公开发行股票并在创业板上市招股意向书")</f>
        <v>国瓷材料:首次公开发行股票并在创业板上市招股意向书</v>
      </c>
    </row>
    <row r="1015" spans="1:3" x14ac:dyDescent="0.15">
      <c r="A1015" s="1">
        <v>40898</v>
      </c>
      <c r="B1015" t="s">
        <v>219</v>
      </c>
      <c r="C1015" s="2" t="str">
        <f>HYPERLINK("http://snap.windin.com/ns/bulletin.php?id=1942780&amp;type=1", "青青稞酒:首次公开发行股票上市公告书")</f>
        <v>青青稞酒:首次公开发行股票上市公告书</v>
      </c>
    </row>
    <row r="1016" spans="1:3" x14ac:dyDescent="0.15">
      <c r="A1016" s="1">
        <v>40898</v>
      </c>
      <c r="B1016" t="s">
        <v>220</v>
      </c>
      <c r="C1016" s="2" t="str">
        <f>HYPERLINK("http://snap.windin.com/ns/bulletin.php?id=1474369&amp;type=1", "佛慈制药:首次公开发行股票上市公告书")</f>
        <v>佛慈制药:首次公开发行股票上市公告书</v>
      </c>
    </row>
    <row r="1017" spans="1:3" x14ac:dyDescent="0.15">
      <c r="A1017" s="1">
        <v>40897</v>
      </c>
      <c r="B1017" t="s">
        <v>208</v>
      </c>
      <c r="C1017" s="2" t="str">
        <f>HYPERLINK("http://snap.windin.com/ns/bulletin.php?id=765580&amp;type=1", "温州宏丰:首次公开发行股票并在创业板上市招股意向书")</f>
        <v>温州宏丰:首次公开发行股票并在创业板上市招股意向书</v>
      </c>
    </row>
    <row r="1018" spans="1:3" x14ac:dyDescent="0.15">
      <c r="A1018" s="1">
        <v>40897</v>
      </c>
      <c r="B1018" t="s">
        <v>208</v>
      </c>
      <c r="C1018" s="2" t="str">
        <f>HYPERLINK("http://snap.windin.com/ns/bulletin.php?id=601650&amp;type=1", "温州宏丰:首次公开发行股票并在创业板上市招股意向书（更新后）")</f>
        <v>温州宏丰:首次公开发行股票并在创业板上市招股意向书（更新后）</v>
      </c>
    </row>
    <row r="1019" spans="1:3" x14ac:dyDescent="0.15">
      <c r="A1019" s="1">
        <v>40897</v>
      </c>
      <c r="B1019" t="s">
        <v>209</v>
      </c>
      <c r="C1019" s="2" t="str">
        <f>HYPERLINK("http://snap.windin.com/ns/bulletin.php?id=93554&amp;type=1", "苏交科:首次公开发行股票并在创业板上市招股意向书")</f>
        <v>苏交科:首次公开发行股票并在创业板上市招股意向书</v>
      </c>
    </row>
    <row r="1020" spans="1:3" x14ac:dyDescent="0.15">
      <c r="A1020" s="1">
        <v>40896</v>
      </c>
      <c r="B1020" t="s">
        <v>221</v>
      </c>
      <c r="C1020" s="2" t="str">
        <f>HYPERLINK("http://snap.windin.com/ns/bulletin.php?id=1369920&amp;type=1", "荣之联:首次公开发行股票上市公告书")</f>
        <v>荣之联:首次公开发行股票上市公告书</v>
      </c>
    </row>
    <row r="1021" spans="1:3" x14ac:dyDescent="0.15">
      <c r="A1021" s="1">
        <v>40896</v>
      </c>
      <c r="B1021" t="s">
        <v>222</v>
      </c>
      <c r="C1021" s="2" t="str">
        <f>HYPERLINK("http://snap.windin.com/ns/bulletin.php?id=1119169&amp;type=1", "华宏科技:首次公开发行股票上市公告书")</f>
        <v>华宏科技:首次公开发行股票上市公告书</v>
      </c>
    </row>
    <row r="1022" spans="1:3" x14ac:dyDescent="0.15">
      <c r="A1022" s="1">
        <v>40896</v>
      </c>
      <c r="B1022" t="s">
        <v>223</v>
      </c>
      <c r="C1022" s="2" t="str">
        <f>HYPERLINK("http://snap.windin.com/ns/bulletin.php?id=836847&amp;type=1", "烟台万润:首次公开发行股票上市公告书")</f>
        <v>烟台万润:首次公开发行股票上市公告书</v>
      </c>
    </row>
    <row r="1023" spans="1:3" x14ac:dyDescent="0.15">
      <c r="A1023" s="1">
        <v>40896</v>
      </c>
      <c r="B1023" t="s">
        <v>216</v>
      </c>
      <c r="C1023" s="2" t="str">
        <f>HYPERLINK("http://snap.windin.com/ns/bulletin.php?id=486658&amp;type=1", "和晶科技:首次公开发行股票并在创业板上市招股说明书")</f>
        <v>和晶科技:首次公开发行股票并在创业板上市招股说明书</v>
      </c>
    </row>
    <row r="1024" spans="1:3" x14ac:dyDescent="0.15">
      <c r="A1024" s="1">
        <v>40893</v>
      </c>
      <c r="B1024" t="s">
        <v>210</v>
      </c>
      <c r="C1024" s="2" t="str">
        <f>HYPERLINK("http://snap.windin.com/ns/bulletin.php?id=18458320&amp;type=1", "利君股份:首次公开发行股票招股意向书")</f>
        <v>利君股份:首次公开发行股票招股意向书</v>
      </c>
    </row>
    <row r="1025" spans="1:3" x14ac:dyDescent="0.15">
      <c r="A1025" s="1">
        <v>40893</v>
      </c>
      <c r="B1025" t="s">
        <v>214</v>
      </c>
      <c r="C1025" s="2" t="str">
        <f>HYPERLINK("http://snap.windin.com/ns/bulletin.php?id=1987326&amp;type=1", "汇冠股份:首次公开发行股票并在创业板上市招股说明书")</f>
        <v>汇冠股份:首次公开发行股票并在创业板上市招股说明书</v>
      </c>
    </row>
    <row r="1026" spans="1:3" x14ac:dyDescent="0.15">
      <c r="A1026" s="1">
        <v>40893</v>
      </c>
      <c r="B1026" t="s">
        <v>210</v>
      </c>
      <c r="C1026" s="2" t="str">
        <f>HYPERLINK("http://snap.windin.com/ns/bulletin.php?id=1587575&amp;type=1", "利君股份:首次公开发行股票招股意向书")</f>
        <v>利君股份:首次公开发行股票招股意向书</v>
      </c>
    </row>
    <row r="1027" spans="1:3" x14ac:dyDescent="0.15">
      <c r="A1027" s="1">
        <v>40893</v>
      </c>
      <c r="B1027" t="s">
        <v>218</v>
      </c>
      <c r="C1027" s="2" t="str">
        <f>HYPERLINK("http://snap.windin.com/ns/bulletin.php?id=1235639&amp;type=1", "宏磊股份:首次公开发行股票招股说明书")</f>
        <v>宏磊股份:首次公开发行股票招股说明书</v>
      </c>
    </row>
    <row r="1028" spans="1:3" x14ac:dyDescent="0.15">
      <c r="A1028" s="1">
        <v>40893</v>
      </c>
      <c r="B1028" t="s">
        <v>213</v>
      </c>
      <c r="C1028" s="2" t="str">
        <f>HYPERLINK("http://snap.windin.com/ns/bulletin.php?id=1113195&amp;type=1", "金明精机:首次公开发行股票并在创业板上市招股说明书")</f>
        <v>金明精机:首次公开发行股票并在创业板上市招股说明书</v>
      </c>
    </row>
    <row r="1029" spans="1:3" x14ac:dyDescent="0.15">
      <c r="A1029" s="1">
        <v>40893</v>
      </c>
      <c r="B1029" t="s">
        <v>215</v>
      </c>
      <c r="C1029" s="2" t="str">
        <f>HYPERLINK("http://snap.windin.com/ns/bulletin.php?id=466962&amp;type=1", "南通锻压:首次公开发行股票并在创业板上市招股说明书")</f>
        <v>南通锻压:首次公开发行股票并在创业板上市招股说明书</v>
      </c>
    </row>
    <row r="1030" spans="1:3" x14ac:dyDescent="0.15">
      <c r="A1030" s="1">
        <v>40893</v>
      </c>
      <c r="B1030" t="s">
        <v>218</v>
      </c>
      <c r="C1030" s="2" t="str">
        <f>HYPERLINK("http://snap.windin.com/ns/bulletin.php?id=172334&amp;type=1", "宏磊股份:首次公开发行股票招股说明书摘要")</f>
        <v>宏磊股份:首次公开发行股票招股说明书摘要</v>
      </c>
    </row>
    <row r="1031" spans="1:3" x14ac:dyDescent="0.15">
      <c r="A1031" s="1">
        <v>40893</v>
      </c>
      <c r="B1031" t="s">
        <v>210</v>
      </c>
      <c r="C1031" s="2" t="str">
        <f>HYPERLINK("http://snap.windin.com/ns/bulletin.php?id=97786&amp;type=1", "利君股份:首次公开发行股票招股意向书摘要")</f>
        <v>利君股份:首次公开发行股票招股意向书摘要</v>
      </c>
    </row>
    <row r="1032" spans="1:3" x14ac:dyDescent="0.15">
      <c r="A1032" s="1">
        <v>40892</v>
      </c>
      <c r="B1032" t="s">
        <v>224</v>
      </c>
      <c r="C1032" s="2" t="str">
        <f>HYPERLINK("http://snap.windin.com/ns/bulletin.php?id=1907360&amp;type=1", "新华保险:首次公开发行A股股票上市公告书")</f>
        <v>新华保险:首次公开发行A股股票上市公告书</v>
      </c>
    </row>
    <row r="1033" spans="1:3" x14ac:dyDescent="0.15">
      <c r="A1033" s="1">
        <v>40892</v>
      </c>
      <c r="B1033" t="s">
        <v>212</v>
      </c>
      <c r="C1033" s="2" t="str">
        <f>HYPERLINK("http://snap.windin.com/ns/bulletin.php?id=1753132&amp;type=1", "博彦科技:首次公开发行股票招股意向书摘要")</f>
        <v>博彦科技:首次公开发行股票招股意向书摘要</v>
      </c>
    </row>
    <row r="1034" spans="1:3" x14ac:dyDescent="0.15">
      <c r="A1034" s="1">
        <v>40892</v>
      </c>
      <c r="B1034" t="s">
        <v>211</v>
      </c>
      <c r="C1034" s="2" t="str">
        <f>HYPERLINK("http://snap.windin.com/ns/bulletin.php?id=1121298&amp;type=1", "加加食品:首次公开发行股票招股意向书摘要")</f>
        <v>加加食品:首次公开发行股票招股意向书摘要</v>
      </c>
    </row>
    <row r="1035" spans="1:3" x14ac:dyDescent="0.15">
      <c r="A1035" s="1">
        <v>40892</v>
      </c>
      <c r="B1035" t="s">
        <v>225</v>
      </c>
      <c r="C1035" s="2" t="str">
        <f>HYPERLINK("http://snap.windin.com/ns/bulletin.php?id=785586&amp;type=1", "华昌达:首次公开发行股票并在创业板上市之上市公告书")</f>
        <v>华昌达:首次公开发行股票并在创业板上市之上市公告书</v>
      </c>
    </row>
    <row r="1036" spans="1:3" x14ac:dyDescent="0.15">
      <c r="A1036" s="1">
        <v>40892</v>
      </c>
      <c r="B1036" t="s">
        <v>225</v>
      </c>
      <c r="C1036" s="2" t="str">
        <f>HYPERLINK("http://snap.windin.com/ns/bulletin.php?id=716758&amp;type=1", "华昌达:首次公开发行股票并在创业板上市公告书提示性公告")</f>
        <v>华昌达:首次公开发行股票并在创业板上市公告书提示性公告</v>
      </c>
    </row>
    <row r="1037" spans="1:3" x14ac:dyDescent="0.15">
      <c r="A1037" s="1">
        <v>40892</v>
      </c>
      <c r="B1037" t="s">
        <v>212</v>
      </c>
      <c r="C1037" s="2" t="str">
        <f>HYPERLINK("http://snap.windin.com/ns/bulletin.php?id=649198&amp;type=1", "博彦科技:首次公开发行股票招股意向书")</f>
        <v>博彦科技:首次公开发行股票招股意向书</v>
      </c>
    </row>
    <row r="1038" spans="1:3" x14ac:dyDescent="0.15">
      <c r="A1038" s="1">
        <v>40892</v>
      </c>
      <c r="B1038" t="s">
        <v>211</v>
      </c>
      <c r="C1038" s="2" t="str">
        <f>HYPERLINK("http://snap.windin.com/ns/bulletin.php?id=467037&amp;type=1", "加加食品:首次公开发行股票招股意向书")</f>
        <v>加加食品:首次公开发行股票招股意向书</v>
      </c>
    </row>
    <row r="1039" spans="1:3" x14ac:dyDescent="0.15">
      <c r="A1039" s="1">
        <v>40892</v>
      </c>
      <c r="B1039" t="s">
        <v>224</v>
      </c>
      <c r="C1039" s="2" t="str">
        <f>HYPERLINK("http://snap.windin.com/ns/bulletin.php?id=439662&amp;type=1", "新华保险:首次公开发行A股股票招股说明书")</f>
        <v>新华保险:首次公开发行A股股票招股说明书</v>
      </c>
    </row>
    <row r="1040" spans="1:3" x14ac:dyDescent="0.15">
      <c r="A1040" s="1">
        <v>40892</v>
      </c>
      <c r="B1040" t="s">
        <v>217</v>
      </c>
      <c r="C1040" s="2" t="str">
        <f>HYPERLINK("http://snap.windin.com/ns/bulletin.php?id=404886&amp;type=1", "卫星石化:首次公开发行股票招股说明书摘要")</f>
        <v>卫星石化:首次公开发行股票招股说明书摘要</v>
      </c>
    </row>
    <row r="1041" spans="1:3" x14ac:dyDescent="0.15">
      <c r="A1041" s="1">
        <v>40892</v>
      </c>
      <c r="B1041" t="s">
        <v>217</v>
      </c>
      <c r="C1041" s="2" t="str">
        <f>HYPERLINK("http://snap.windin.com/ns/bulletin.php?id=210321&amp;type=1", "卫星石化:首次公开发行股票招股说明书")</f>
        <v>卫星石化:首次公开发行股票招股说明书</v>
      </c>
    </row>
    <row r="1042" spans="1:3" x14ac:dyDescent="0.15">
      <c r="A1042" s="1">
        <v>40889</v>
      </c>
      <c r="B1042" t="s">
        <v>220</v>
      </c>
      <c r="C1042" s="2" t="str">
        <f>HYPERLINK("http://snap.windin.com/ns/bulletin.php?id=1919133&amp;type=1", "佛慈制药:首次公开发行股票招股说明书")</f>
        <v>佛慈制药:首次公开发行股票招股说明书</v>
      </c>
    </row>
    <row r="1043" spans="1:3" x14ac:dyDescent="0.15">
      <c r="A1043" s="1">
        <v>40889</v>
      </c>
      <c r="B1043" t="s">
        <v>220</v>
      </c>
      <c r="C1043" s="2" t="str">
        <f>HYPERLINK("http://snap.windin.com/ns/bulletin.php?id=1871172&amp;type=1", "佛慈制药:首次公开发行股票招股说明书摘要")</f>
        <v>佛慈制药:首次公开发行股票招股说明书摘要</v>
      </c>
    </row>
    <row r="1044" spans="1:3" x14ac:dyDescent="0.15">
      <c r="A1044" s="1">
        <v>40889</v>
      </c>
      <c r="B1044" t="s">
        <v>219</v>
      </c>
      <c r="C1044" s="2" t="str">
        <f>HYPERLINK("http://snap.windin.com/ns/bulletin.php?id=571469&amp;type=1", "青青稞酒:首次公开发行股票招股说明书")</f>
        <v>青青稞酒:首次公开发行股票招股说明书</v>
      </c>
    </row>
    <row r="1045" spans="1:3" x14ac:dyDescent="0.15">
      <c r="A1045" s="1">
        <v>40889</v>
      </c>
      <c r="B1045" t="s">
        <v>219</v>
      </c>
      <c r="C1045" s="2" t="str">
        <f>HYPERLINK("http://snap.windin.com/ns/bulletin.php?id=490100&amp;type=1", "青青稞酒:首次公开发行股票招股说明书摘要")</f>
        <v>青青稞酒:首次公开发行股票招股说明书摘要</v>
      </c>
    </row>
    <row r="1046" spans="1:3" x14ac:dyDescent="0.15">
      <c r="A1046" s="1">
        <v>40886</v>
      </c>
      <c r="B1046" t="s">
        <v>216</v>
      </c>
      <c r="C1046" s="2" t="str">
        <f>HYPERLINK("http://snap.windin.com/ns/bulletin.php?id=18494364&amp;type=1", "和晶科技:首次公开发行股票并在创业板上市招股意向书")</f>
        <v>和晶科技:首次公开发行股票并在创业板上市招股意向书</v>
      </c>
    </row>
    <row r="1047" spans="1:3" x14ac:dyDescent="0.15">
      <c r="A1047" s="1">
        <v>40886</v>
      </c>
      <c r="B1047" t="s">
        <v>216</v>
      </c>
      <c r="C1047" s="2" t="str">
        <f>HYPERLINK("http://snap.windin.com/ns/bulletin.php?id=1651636&amp;type=1", "和晶科技:首次公开发行股票并在创业板上市招股意向书")</f>
        <v>和晶科技:首次公开发行股票并在创业板上市招股意向书</v>
      </c>
    </row>
    <row r="1048" spans="1:3" x14ac:dyDescent="0.15">
      <c r="A1048" s="1">
        <v>40886</v>
      </c>
      <c r="B1048" t="s">
        <v>215</v>
      </c>
      <c r="C1048" s="2" t="str">
        <f>HYPERLINK("http://snap.windin.com/ns/bulletin.php?id=1139954&amp;type=1", "南通锻压:首次公开发行股票并在创业板上市招股意向书")</f>
        <v>南通锻压:首次公开发行股票并在创业板上市招股意向书</v>
      </c>
    </row>
    <row r="1049" spans="1:3" x14ac:dyDescent="0.15">
      <c r="A1049" s="1">
        <v>40886</v>
      </c>
      <c r="B1049" t="s">
        <v>222</v>
      </c>
      <c r="C1049" s="2" t="str">
        <f>HYPERLINK("http://snap.windin.com/ns/bulletin.php?id=1058020&amp;type=1", "华宏科技:首次公开发行股票招股说明书摘要")</f>
        <v>华宏科技:首次公开发行股票招股说明书摘要</v>
      </c>
    </row>
    <row r="1050" spans="1:3" x14ac:dyDescent="0.15">
      <c r="A1050" s="1">
        <v>40886</v>
      </c>
      <c r="B1050" t="s">
        <v>223</v>
      </c>
      <c r="C1050" s="2" t="str">
        <f>HYPERLINK("http://snap.windin.com/ns/bulletin.php?id=862184&amp;type=1", "烟台万润:首次公开发行股票招股说明书摘要")</f>
        <v>烟台万润:首次公开发行股票招股说明书摘要</v>
      </c>
    </row>
    <row r="1051" spans="1:3" x14ac:dyDescent="0.15">
      <c r="A1051" s="1">
        <v>40886</v>
      </c>
      <c r="B1051" t="s">
        <v>214</v>
      </c>
      <c r="C1051" s="2" t="str">
        <f>HYPERLINK("http://snap.windin.com/ns/bulletin.php?id=759004&amp;type=1", "汇冠股份:首次公开发行股票并在创业板上市招股意向书")</f>
        <v>汇冠股份:首次公开发行股票并在创业板上市招股意向书</v>
      </c>
    </row>
    <row r="1052" spans="1:3" x14ac:dyDescent="0.15">
      <c r="A1052" s="1">
        <v>40886</v>
      </c>
      <c r="B1052" t="s">
        <v>213</v>
      </c>
      <c r="C1052" s="2" t="str">
        <f>HYPERLINK("http://snap.windin.com/ns/bulletin.php?id=228690&amp;type=1", "金明精机:首次公开发行股票并在创业板上市招股意向书")</f>
        <v>金明精机:首次公开发行股票并在创业板上市招股意向书</v>
      </c>
    </row>
    <row r="1053" spans="1:3" x14ac:dyDescent="0.15">
      <c r="A1053" s="1">
        <v>40886</v>
      </c>
      <c r="B1053" t="s">
        <v>222</v>
      </c>
      <c r="C1053" s="2" t="str">
        <f>HYPERLINK("http://snap.windin.com/ns/bulletin.php?id=152786&amp;type=1", "华宏科技:首次公开发行股票招股说明书")</f>
        <v>华宏科技:首次公开发行股票招股说明书</v>
      </c>
    </row>
    <row r="1054" spans="1:3" x14ac:dyDescent="0.15">
      <c r="A1054" s="1">
        <v>40886</v>
      </c>
      <c r="B1054" t="s">
        <v>223</v>
      </c>
      <c r="C1054" s="2" t="str">
        <f>HYPERLINK("http://snap.windin.com/ns/bulletin.php?id=150973&amp;type=1", "烟台万润:首次公开发行股票招股说明书")</f>
        <v>烟台万润:首次公开发行股票招股说明书</v>
      </c>
    </row>
    <row r="1055" spans="1:3" x14ac:dyDescent="0.15">
      <c r="A1055" s="1">
        <v>40886</v>
      </c>
      <c r="B1055" t="s">
        <v>226</v>
      </c>
      <c r="C1055" s="2" t="str">
        <f>HYPERLINK("http://snap.windin.com/ns/bulletin.php?id=130554&amp;type=1", "东吴证券:首次公开发行A股股票招股说明书")</f>
        <v>东吴证券:首次公开发行A股股票招股说明书</v>
      </c>
    </row>
    <row r="1056" spans="1:3" x14ac:dyDescent="0.15">
      <c r="A1056" s="1">
        <v>40886</v>
      </c>
      <c r="B1056" t="s">
        <v>226</v>
      </c>
      <c r="C1056" s="2" t="str">
        <f>HYPERLINK("http://snap.windin.com/ns/bulletin.php?id=76296&amp;type=1", "东吴证券:首次公开发行A股股票上市公告书")</f>
        <v>东吴证券:首次公开发行A股股票上市公告书</v>
      </c>
    </row>
    <row r="1057" spans="1:3" x14ac:dyDescent="0.15">
      <c r="A1057" s="1">
        <v>40885</v>
      </c>
      <c r="B1057" t="s">
        <v>218</v>
      </c>
      <c r="C1057" s="2" t="str">
        <f>HYPERLINK("http://snap.windin.com/ns/bulletin.php?id=1963799&amp;type=1", "宏磊股份:首次公开发行股票招股意向书摘要")</f>
        <v>宏磊股份:首次公开发行股票招股意向书摘要</v>
      </c>
    </row>
    <row r="1058" spans="1:3" x14ac:dyDescent="0.15">
      <c r="A1058" s="1">
        <v>40885</v>
      </c>
      <c r="B1058" t="s">
        <v>217</v>
      </c>
      <c r="C1058" s="2" t="str">
        <f>HYPERLINK("http://snap.windin.com/ns/bulletin.php?id=1909989&amp;type=1", "卫星石化:首次公开发行股票招股意向书（更新后）")</f>
        <v>卫星石化:首次公开发行股票招股意向书（更新后）</v>
      </c>
    </row>
    <row r="1059" spans="1:3" x14ac:dyDescent="0.15">
      <c r="A1059" s="1">
        <v>40885</v>
      </c>
      <c r="B1059" t="s">
        <v>217</v>
      </c>
      <c r="C1059" s="2" t="str">
        <f>HYPERLINK("http://snap.windin.com/ns/bulletin.php?id=1904214&amp;type=1", "卫星石化:首次公开发行股票招股意向书")</f>
        <v>卫星石化:首次公开发行股票招股意向书</v>
      </c>
    </row>
    <row r="1060" spans="1:3" x14ac:dyDescent="0.15">
      <c r="A1060" s="1">
        <v>40885</v>
      </c>
      <c r="B1060" t="s">
        <v>217</v>
      </c>
      <c r="C1060" s="2" t="str">
        <f>HYPERLINK("http://snap.windin.com/ns/bulletin.php?id=1685005&amp;type=1", "卫星石化:首次公开发行股票招股意向书摘要")</f>
        <v>卫星石化:首次公开发行股票招股意向书摘要</v>
      </c>
    </row>
    <row r="1061" spans="1:3" x14ac:dyDescent="0.15">
      <c r="A1061" s="1">
        <v>40885</v>
      </c>
      <c r="B1061" t="s">
        <v>218</v>
      </c>
      <c r="C1061" s="2" t="str">
        <f>HYPERLINK("http://snap.windin.com/ns/bulletin.php?id=639486&amp;type=1", "宏磊股份:首次公开发行股票招股意向书")</f>
        <v>宏磊股份:首次公开发行股票招股意向书</v>
      </c>
    </row>
    <row r="1062" spans="1:3" x14ac:dyDescent="0.15">
      <c r="A1062" s="1">
        <v>40884</v>
      </c>
      <c r="B1062" t="s">
        <v>227</v>
      </c>
      <c r="C1062" s="2" t="str">
        <f>HYPERLINK("http://snap.windin.com/ns/bulletin.php?id=1820492&amp;type=1", "永高股份:首次公开发行股票上市公告书")</f>
        <v>永高股份:首次公开发行股票上市公告书</v>
      </c>
    </row>
    <row r="1063" spans="1:3" x14ac:dyDescent="0.15">
      <c r="A1063" s="1">
        <v>40884</v>
      </c>
      <c r="B1063" t="s">
        <v>221</v>
      </c>
      <c r="C1063" s="2" t="str">
        <f>HYPERLINK("http://snap.windin.com/ns/bulletin.php?id=1743625&amp;type=1", "荣之联:首次公开发行股票招股说明书摘要")</f>
        <v>荣之联:首次公开发行股票招股说明书摘要</v>
      </c>
    </row>
    <row r="1064" spans="1:3" x14ac:dyDescent="0.15">
      <c r="A1064" s="1">
        <v>40884</v>
      </c>
      <c r="B1064" t="s">
        <v>228</v>
      </c>
      <c r="C1064" s="2" t="str">
        <f>HYPERLINK("http://snap.windin.com/ns/bulletin.php?id=1423273&amp;type=1", "百圆裤业:首次公开发行股票上市公告书")</f>
        <v>百圆裤业:首次公开发行股票上市公告书</v>
      </c>
    </row>
    <row r="1065" spans="1:3" x14ac:dyDescent="0.15">
      <c r="A1065" s="1">
        <v>40884</v>
      </c>
      <c r="B1065" t="s">
        <v>221</v>
      </c>
      <c r="C1065" s="2" t="str">
        <f>HYPERLINK("http://snap.windin.com/ns/bulletin.php?id=1094065&amp;type=1", "荣之联:首次公开发行股票招股说明书")</f>
        <v>荣之联:首次公开发行股票招股说明书</v>
      </c>
    </row>
    <row r="1066" spans="1:3" x14ac:dyDescent="0.15">
      <c r="A1066" s="1">
        <v>40883</v>
      </c>
      <c r="B1066" t="s">
        <v>225</v>
      </c>
      <c r="C1066" s="2" t="str">
        <f>HYPERLINK("http://snap.windin.com/ns/bulletin.php?id=2026587&amp;type=1", "华昌达:首次公开发行股票并在创业板上市招股说明书")</f>
        <v>华昌达:首次公开发行股票并在创业板上市招股说明书</v>
      </c>
    </row>
    <row r="1067" spans="1:3" x14ac:dyDescent="0.15">
      <c r="A1067" s="1">
        <v>40883</v>
      </c>
      <c r="B1067" t="s">
        <v>156</v>
      </c>
      <c r="C1067" s="2" t="str">
        <f>HYPERLINK("http://snap.windin.com/ns/bulletin.php?id=1769069&amp;type=1", "海通证券:H股招股说明书（英文）")</f>
        <v>海通证券:H股招股说明书（英文）</v>
      </c>
    </row>
    <row r="1068" spans="1:3" x14ac:dyDescent="0.15">
      <c r="A1068" s="1">
        <v>40883</v>
      </c>
      <c r="B1068" t="s">
        <v>156</v>
      </c>
      <c r="C1068" s="2" t="str">
        <f>HYPERLINK("http://snap.windin.com/ns/bulletin.php?id=1160528&amp;type=1", "海通证券:H股招股说明书（中文）")</f>
        <v>海通证券:H股招股说明书（中文）</v>
      </c>
    </row>
    <row r="1069" spans="1:3" x14ac:dyDescent="0.15">
      <c r="A1069" s="1">
        <v>40882</v>
      </c>
      <c r="B1069" t="s">
        <v>220</v>
      </c>
      <c r="C1069" s="2" t="str">
        <f>HYPERLINK("http://snap.windin.com/ns/bulletin.php?id=1538305&amp;type=1", "佛慈制药:首次公开发行股票招股意向书")</f>
        <v>佛慈制药:首次公开发行股票招股意向书</v>
      </c>
    </row>
    <row r="1070" spans="1:3" x14ac:dyDescent="0.15">
      <c r="A1070" s="1">
        <v>40882</v>
      </c>
      <c r="B1070" t="s">
        <v>220</v>
      </c>
      <c r="C1070" s="2" t="str">
        <f>HYPERLINK("http://snap.windin.com/ns/bulletin.php?id=1186395&amp;type=1", "佛慈制药:首次公开发行股票并上市招股意向书摘要")</f>
        <v>佛慈制药:首次公开发行股票并上市招股意向书摘要</v>
      </c>
    </row>
    <row r="1071" spans="1:3" x14ac:dyDescent="0.15">
      <c r="A1071" s="1">
        <v>40879</v>
      </c>
      <c r="B1071" t="s">
        <v>219</v>
      </c>
      <c r="C1071" s="2" t="str">
        <f>HYPERLINK("http://snap.windin.com/ns/bulletin.php?id=1796955&amp;type=1", "互助青稞:首次公开发行股票招股意向书摘要")</f>
        <v>互助青稞:首次公开发行股票招股意向书摘要</v>
      </c>
    </row>
    <row r="1072" spans="1:3" x14ac:dyDescent="0.15">
      <c r="A1072" s="1">
        <v>40879</v>
      </c>
      <c r="B1072" t="s">
        <v>229</v>
      </c>
      <c r="C1072" s="2" t="str">
        <f>HYPERLINK("http://snap.windin.com/ns/bulletin.php?id=1761299&amp;type=1", "棒杰股份:首次公开发行股票上市公告书")</f>
        <v>棒杰股份:首次公开发行股票上市公告书</v>
      </c>
    </row>
    <row r="1073" spans="1:3" x14ac:dyDescent="0.15">
      <c r="A1073" s="1">
        <v>40879</v>
      </c>
      <c r="B1073" t="s">
        <v>222</v>
      </c>
      <c r="C1073" s="2" t="str">
        <f>HYPERLINK("http://snap.windin.com/ns/bulletin.php?id=1364721&amp;type=1", "华宏科技:首次公开发行股票招股意向书摘要")</f>
        <v>华宏科技:首次公开发行股票招股意向书摘要</v>
      </c>
    </row>
    <row r="1074" spans="1:3" x14ac:dyDescent="0.15">
      <c r="A1074" s="1">
        <v>40879</v>
      </c>
      <c r="B1074" t="s">
        <v>219</v>
      </c>
      <c r="C1074" s="2" t="str">
        <f>HYPERLINK("http://snap.windin.com/ns/bulletin.php?id=1043351&amp;type=1", "互助青稞:首次公开发行股票招股意向书")</f>
        <v>互助青稞:首次公开发行股票招股意向书</v>
      </c>
    </row>
    <row r="1075" spans="1:3" x14ac:dyDescent="0.15">
      <c r="A1075" s="1">
        <v>40879</v>
      </c>
      <c r="B1075" t="s">
        <v>222</v>
      </c>
      <c r="C1075" s="2" t="str">
        <f>HYPERLINK("http://snap.windin.com/ns/bulletin.php?id=978478&amp;type=1", "华宏科技:首次公开发行股票招股意向书")</f>
        <v>华宏科技:首次公开发行股票招股意向书</v>
      </c>
    </row>
    <row r="1076" spans="1:3" x14ac:dyDescent="0.15">
      <c r="A1076" s="1">
        <v>40879</v>
      </c>
      <c r="B1076" t="s">
        <v>230</v>
      </c>
      <c r="C1076" s="2" t="str">
        <f>HYPERLINK("http://snap.windin.com/ns/bulletin.php?id=775844&amp;type=1", "雪人股份:首次公开发行股票之上市公告书")</f>
        <v>雪人股份:首次公开发行股票之上市公告书</v>
      </c>
    </row>
    <row r="1077" spans="1:3" x14ac:dyDescent="0.15">
      <c r="A1077" s="1">
        <v>40877</v>
      </c>
      <c r="B1077" t="s">
        <v>221</v>
      </c>
      <c r="C1077" s="2" t="str">
        <f>HYPERLINK("http://snap.windin.com/ns/bulletin.php?id=18485678&amp;type=1", "荣之联:首次公开发行股票招股意向书")</f>
        <v>荣之联:首次公开发行股票招股意向书</v>
      </c>
    </row>
    <row r="1078" spans="1:3" x14ac:dyDescent="0.15">
      <c r="A1078" s="1">
        <v>40877</v>
      </c>
      <c r="B1078" t="s">
        <v>223</v>
      </c>
      <c r="C1078" s="2" t="str">
        <f>HYPERLINK("http://snap.windin.com/ns/bulletin.php?id=18462512&amp;type=1", "烟台万润:首次公开发行股票招股意向书")</f>
        <v>烟台万润:首次公开发行股票招股意向书</v>
      </c>
    </row>
    <row r="1079" spans="1:3" x14ac:dyDescent="0.15">
      <c r="A1079" s="1">
        <v>40877</v>
      </c>
      <c r="B1079" t="s">
        <v>221</v>
      </c>
      <c r="C1079" s="2" t="str">
        <f>HYPERLINK("http://snap.windin.com/ns/bulletin.php?id=1804777&amp;type=1", "荣之联:首次公开发行股票招股意向书")</f>
        <v>荣之联:首次公开发行股票招股意向书</v>
      </c>
    </row>
    <row r="1080" spans="1:3" x14ac:dyDescent="0.15">
      <c r="A1080" s="1">
        <v>40877</v>
      </c>
      <c r="B1080" t="s">
        <v>223</v>
      </c>
      <c r="C1080" s="2" t="str">
        <f>HYPERLINK("http://snap.windin.com/ns/bulletin.php?id=1492686&amp;type=1", "烟台万润:首次公开发行股票招股意向书")</f>
        <v>烟台万润:首次公开发行股票招股意向书</v>
      </c>
    </row>
    <row r="1081" spans="1:3" x14ac:dyDescent="0.15">
      <c r="A1081" s="1">
        <v>40877</v>
      </c>
      <c r="B1081" t="s">
        <v>223</v>
      </c>
      <c r="C1081" s="2" t="str">
        <f>HYPERLINK("http://snap.windin.com/ns/bulletin.php?id=706509&amp;type=1", "烟台万润:首次公开发行股票招股意向书摘要")</f>
        <v>烟台万润:首次公开发行股票招股意向书摘要</v>
      </c>
    </row>
    <row r="1082" spans="1:3" x14ac:dyDescent="0.15">
      <c r="A1082" s="1">
        <v>40877</v>
      </c>
      <c r="B1082" t="s">
        <v>221</v>
      </c>
      <c r="C1082" s="2" t="str">
        <f>HYPERLINK("http://snap.windin.com/ns/bulletin.php?id=100861&amp;type=1", "荣之联:首次公开发行股票招股意向书摘要")</f>
        <v>荣之联:首次公开发行股票招股意向书摘要</v>
      </c>
    </row>
    <row r="1083" spans="1:3" x14ac:dyDescent="0.15">
      <c r="A1083" s="1">
        <v>40876</v>
      </c>
      <c r="B1083" t="s">
        <v>225</v>
      </c>
      <c r="C1083" s="2" t="str">
        <f>HYPERLINK("http://snap.windin.com/ns/bulletin.php?id=1914860&amp;type=1", "华昌达:首次公开发行股票并在创业板上市招股意向书")</f>
        <v>华昌达:首次公开发行股票并在创业板上市招股意向书</v>
      </c>
    </row>
    <row r="1084" spans="1:3" x14ac:dyDescent="0.15">
      <c r="A1084" s="1">
        <v>40876</v>
      </c>
      <c r="B1084" t="s">
        <v>228</v>
      </c>
      <c r="C1084" s="2" t="str">
        <f>HYPERLINK("http://snap.windin.com/ns/bulletin.php?id=1849380&amp;type=1", "百圆裤业:首次公开发行股票并上市招股说明书")</f>
        <v>百圆裤业:首次公开发行股票并上市招股说明书</v>
      </c>
    </row>
    <row r="1085" spans="1:3" x14ac:dyDescent="0.15">
      <c r="A1085" s="1">
        <v>40876</v>
      </c>
      <c r="B1085" t="s">
        <v>227</v>
      </c>
      <c r="C1085" s="2" t="str">
        <f>HYPERLINK("http://snap.windin.com/ns/bulletin.php?id=1726792&amp;type=1", "永高股份:首次公开发行股票（A股）招股说明书摘要")</f>
        <v>永高股份:首次公开发行股票（A股）招股说明书摘要</v>
      </c>
    </row>
    <row r="1086" spans="1:3" x14ac:dyDescent="0.15">
      <c r="A1086" s="1">
        <v>40876</v>
      </c>
      <c r="B1086" t="s">
        <v>228</v>
      </c>
      <c r="C1086" s="2" t="str">
        <f>HYPERLINK("http://snap.windin.com/ns/bulletin.php?id=1660067&amp;type=1", "百圆裤业:首次公开发行股票招股说明书摘要")</f>
        <v>百圆裤业:首次公开发行股票招股说明书摘要</v>
      </c>
    </row>
    <row r="1087" spans="1:3" x14ac:dyDescent="0.15">
      <c r="A1087" s="1">
        <v>40876</v>
      </c>
      <c r="B1087" t="s">
        <v>231</v>
      </c>
      <c r="C1087" s="2" t="str">
        <f>HYPERLINK("http://snap.windin.com/ns/bulletin.php?id=1182520&amp;type=1", "凤凰传媒:首次公开发行A股股票招股说明书")</f>
        <v>凤凰传媒:首次公开发行A股股票招股说明书</v>
      </c>
    </row>
    <row r="1088" spans="1:3" x14ac:dyDescent="0.15">
      <c r="A1088" s="1">
        <v>40876</v>
      </c>
      <c r="B1088" t="s">
        <v>231</v>
      </c>
      <c r="C1088" s="2" t="str">
        <f>HYPERLINK("http://snap.windin.com/ns/bulletin.php?id=787086&amp;type=1", "凤凰传媒:首次公开发行A股股票上市公告书")</f>
        <v>凤凰传媒:首次公开发行A股股票上市公告书</v>
      </c>
    </row>
    <row r="1089" spans="1:3" x14ac:dyDescent="0.15">
      <c r="A1089" s="1">
        <v>40876</v>
      </c>
      <c r="B1089" t="s">
        <v>227</v>
      </c>
      <c r="C1089" s="2" t="str">
        <f>HYPERLINK("http://snap.windin.com/ns/bulletin.php?id=127295&amp;type=1", "永高股份:首次公开发行股票（A股）招股说明书")</f>
        <v>永高股份:首次公开发行股票（A股）招股说明书</v>
      </c>
    </row>
    <row r="1090" spans="1:3" x14ac:dyDescent="0.15">
      <c r="A1090" s="1">
        <v>40872</v>
      </c>
      <c r="B1090" t="s">
        <v>226</v>
      </c>
      <c r="C1090" s="2" t="str">
        <f>HYPERLINK("http://snap.windin.com/ns/bulletin.php?id=1932938&amp;type=1", "东吴证券:首次公开发行A股股票招股意向书附录二")</f>
        <v>东吴证券:首次公开发行A股股票招股意向书附录二</v>
      </c>
    </row>
    <row r="1091" spans="1:3" x14ac:dyDescent="0.15">
      <c r="A1091" s="1">
        <v>40872</v>
      </c>
      <c r="B1091" t="s">
        <v>226</v>
      </c>
      <c r="C1091" s="2" t="str">
        <f>HYPERLINK("http://snap.windin.com/ns/bulletin.php?id=1853362&amp;type=1", "东吴证券:首次公开发行A股股票招股意向书附录一")</f>
        <v>东吴证券:首次公开发行A股股票招股意向书附录一</v>
      </c>
    </row>
    <row r="1092" spans="1:3" x14ac:dyDescent="0.15">
      <c r="A1092" s="1">
        <v>40872</v>
      </c>
      <c r="B1092" t="s">
        <v>232</v>
      </c>
      <c r="C1092" s="2" t="str">
        <f>HYPERLINK("http://snap.windin.com/ns/bulletin.php?id=1402984&amp;type=1", "N赞宇:首次公开发行股票上市公告书（更新后）")</f>
        <v>N赞宇:首次公开发行股票上市公告书（更新后）</v>
      </c>
    </row>
    <row r="1093" spans="1:3" x14ac:dyDescent="0.15">
      <c r="A1093" s="1">
        <v>40872</v>
      </c>
      <c r="B1093" t="s">
        <v>226</v>
      </c>
      <c r="C1093" s="2" t="str">
        <f>HYPERLINK("http://snap.windin.com/ns/bulletin.php?id=1046299&amp;type=1", "东吴证券:首次公开发行A股股票招股意向书附录三")</f>
        <v>东吴证券:首次公开发行A股股票招股意向书附录三</v>
      </c>
    </row>
    <row r="1094" spans="1:3" x14ac:dyDescent="0.15">
      <c r="A1094" s="1">
        <v>40872</v>
      </c>
      <c r="B1094" t="s">
        <v>226</v>
      </c>
      <c r="C1094" s="2" t="str">
        <f>HYPERLINK("http://snap.windin.com/ns/bulletin.php?id=236580&amp;type=1", "东吴证券:首次公开发行A股股票招股意向书")</f>
        <v>东吴证券:首次公开发行A股股票招股意向书</v>
      </c>
    </row>
    <row r="1095" spans="1:3" x14ac:dyDescent="0.15">
      <c r="A1095" s="1">
        <v>40872</v>
      </c>
      <c r="B1095" t="s">
        <v>226</v>
      </c>
      <c r="C1095" s="2" t="str">
        <f>HYPERLINK("http://snap.windin.com/ns/bulletin.php?id=182533&amp;type=1", "东吴证券:首次公开发行A股股票招股意向书摘要")</f>
        <v>东吴证券:首次公开发行A股股票招股意向书摘要</v>
      </c>
    </row>
    <row r="1096" spans="1:3" x14ac:dyDescent="0.15">
      <c r="A1096" s="1">
        <v>40871</v>
      </c>
      <c r="B1096" t="s">
        <v>233</v>
      </c>
      <c r="C1096" s="2" t="str">
        <f>HYPERLINK("http://snap.windin.com/ns/bulletin.php?id=2070632&amp;type=1", "安洁科技:首次公开发行股票上市公告书")</f>
        <v>安洁科技:首次公开发行股票上市公告书</v>
      </c>
    </row>
    <row r="1097" spans="1:3" x14ac:dyDescent="0.15">
      <c r="A1097" s="1">
        <v>40871</v>
      </c>
      <c r="B1097" t="s">
        <v>234</v>
      </c>
      <c r="C1097" s="2" t="str">
        <f>HYPERLINK("http://snap.windin.com/ns/bulletin.php?id=1307392&amp;type=1", "勤上光电:首次公开发行股票上市公告书")</f>
        <v>勤上光电:首次公开发行股票上市公告书</v>
      </c>
    </row>
    <row r="1098" spans="1:3" x14ac:dyDescent="0.15">
      <c r="A1098" s="1">
        <v>40871</v>
      </c>
      <c r="B1098" t="s">
        <v>232</v>
      </c>
      <c r="C1098" s="2" t="str">
        <f>HYPERLINK("http://snap.windin.com/ns/bulletin.php?id=565040&amp;type=1", "赞宇科技:首次公开发行股票上市公告书")</f>
        <v>赞宇科技:首次公开发行股票上市公告书</v>
      </c>
    </row>
    <row r="1099" spans="1:3" x14ac:dyDescent="0.15">
      <c r="A1099" s="1">
        <v>40871</v>
      </c>
      <c r="B1099" t="s">
        <v>229</v>
      </c>
      <c r="C1099" s="2" t="str">
        <f>HYPERLINK("http://snap.windin.com/ns/bulletin.php?id=494164&amp;type=1", "棒杰股份:首次公开发行股票招股说明书摘要")</f>
        <v>棒杰股份:首次公开发行股票招股说明书摘要</v>
      </c>
    </row>
    <row r="1100" spans="1:3" x14ac:dyDescent="0.15">
      <c r="A1100" s="1">
        <v>40871</v>
      </c>
      <c r="B1100" t="s">
        <v>229</v>
      </c>
      <c r="C1100" s="2" t="str">
        <f>HYPERLINK("http://snap.windin.com/ns/bulletin.php?id=474141&amp;type=1", "棒杰股份:首次公开发行股票招股说明书")</f>
        <v>棒杰股份:首次公开发行股票招股说明书</v>
      </c>
    </row>
    <row r="1101" spans="1:3" x14ac:dyDescent="0.15">
      <c r="A1101" s="1">
        <v>40871</v>
      </c>
      <c r="B1101" t="s">
        <v>235</v>
      </c>
      <c r="C1101" s="2" t="str">
        <f>HYPERLINK("http://snap.windin.com/ns/bulletin.php?id=88545&amp;type=1", "金安国纪:首次公开发行股票上市公告书")</f>
        <v>金安国纪:首次公开发行股票上市公告书</v>
      </c>
    </row>
    <row r="1102" spans="1:3" x14ac:dyDescent="0.15">
      <c r="A1102" s="1">
        <v>40870</v>
      </c>
      <c r="B1102" t="s">
        <v>236</v>
      </c>
      <c r="C1102" s="2" t="str">
        <f>HYPERLINK("http://snap.windin.com/ns/bulletin.php?id=2095606&amp;type=1", "N海联讯:首次公开发行股票并在创业板上市公告书（更新后）")</f>
        <v>N海联讯:首次公开发行股票并在创业板上市公告书（更新后）</v>
      </c>
    </row>
    <row r="1103" spans="1:3" x14ac:dyDescent="0.15">
      <c r="A1103" s="1">
        <v>40870</v>
      </c>
      <c r="B1103" t="s">
        <v>236</v>
      </c>
      <c r="C1103" s="2" t="str">
        <f>HYPERLINK("http://snap.windin.com/ns/bulletin.php?id=1371883&amp;type=1", "N海联讯:关于《深圳海联讯科技股份有限公司首次公开发行股票并在创业板上市公告书》补充公告")</f>
        <v>N海联讯:关于《深圳海联讯科技股份有限公司首次公开发行股票并在创业板上市公告书》补充公告</v>
      </c>
    </row>
    <row r="1104" spans="1:3" x14ac:dyDescent="0.15">
      <c r="A1104" s="1">
        <v>40869</v>
      </c>
      <c r="B1104" t="s">
        <v>224</v>
      </c>
      <c r="C1104" s="2" t="str">
        <f>HYPERLINK("http://snap.windin.com/ns/bulletin.php?id=2063769&amp;type=1", "新华保险:首次公开发行A股股票招股意向书附录二")</f>
        <v>新华保险:首次公开发行A股股票招股意向书附录二</v>
      </c>
    </row>
    <row r="1105" spans="1:3" x14ac:dyDescent="0.15">
      <c r="A1105" s="1">
        <v>40869</v>
      </c>
      <c r="B1105" t="s">
        <v>224</v>
      </c>
      <c r="C1105" s="2" t="str">
        <f>HYPERLINK("http://snap.windin.com/ns/bulletin.php?id=2011855&amp;type=1", "新华保险:首次公开发行A股股票招股意向书附录三")</f>
        <v>新华保险:首次公开发行A股股票招股意向书附录三</v>
      </c>
    </row>
    <row r="1106" spans="1:3" x14ac:dyDescent="0.15">
      <c r="A1106" s="1">
        <v>40869</v>
      </c>
      <c r="B1106" t="s">
        <v>224</v>
      </c>
      <c r="C1106" s="2" t="str">
        <f>HYPERLINK("http://snap.windin.com/ns/bulletin.php?id=630566&amp;type=1", "新华保险:首次公开发行股票（A股）招股意向书摘要")</f>
        <v>新华保险:首次公开发行股票（A股）招股意向书摘要</v>
      </c>
    </row>
    <row r="1107" spans="1:3" x14ac:dyDescent="0.15">
      <c r="A1107" s="1">
        <v>40869</v>
      </c>
      <c r="B1107" t="s">
        <v>236</v>
      </c>
      <c r="C1107" s="2" t="str">
        <f>HYPERLINK("http://snap.windin.com/ns/bulletin.php?id=622063&amp;type=1", "海联讯:首次公开发行股票并在创业板上市公告书")</f>
        <v>海联讯:首次公开发行股票并在创业板上市公告书</v>
      </c>
    </row>
    <row r="1108" spans="1:3" x14ac:dyDescent="0.15">
      <c r="A1108" s="1">
        <v>40869</v>
      </c>
      <c r="B1108" t="s">
        <v>224</v>
      </c>
      <c r="C1108" s="2" t="str">
        <f>HYPERLINK("http://snap.windin.com/ns/bulletin.php?id=605896&amp;type=1", "新华保险:首次公开发行股票（A股）招股意向书")</f>
        <v>新华保险:首次公开发行股票（A股）招股意向书</v>
      </c>
    </row>
    <row r="1109" spans="1:3" x14ac:dyDescent="0.15">
      <c r="A1109" s="1">
        <v>40869</v>
      </c>
      <c r="B1109" t="s">
        <v>236</v>
      </c>
      <c r="C1109" s="2" t="str">
        <f>HYPERLINK("http://snap.windin.com/ns/bulletin.php?id=127899&amp;type=1", "海联讯:首次公开发行股票并在创业板上市公告书提示性公告")</f>
        <v>海联讯:首次公开发行股票并在创业板上市公告书提示性公告</v>
      </c>
    </row>
    <row r="1110" spans="1:3" x14ac:dyDescent="0.15">
      <c r="A1110" s="1">
        <v>40869</v>
      </c>
      <c r="B1110" t="s">
        <v>224</v>
      </c>
      <c r="C1110" s="2" t="str">
        <f>HYPERLINK("http://snap.windin.com/ns/bulletin.php?id=127243&amp;type=1", "新华保险:首次公开发行A股股票招股意向书附录一")</f>
        <v>新华保险:首次公开发行A股股票招股意向书附录一</v>
      </c>
    </row>
    <row r="1111" spans="1:3" x14ac:dyDescent="0.15">
      <c r="A1111" s="1">
        <v>40868</v>
      </c>
      <c r="B1111" t="s">
        <v>237</v>
      </c>
      <c r="C1111" s="2" t="str">
        <f>HYPERLINK("http://snap.windin.com/ns/bulletin.php?id=1154228&amp;type=1", "申科股份:首次公开发行股票上市公告书")</f>
        <v>申科股份:首次公开发行股票上市公告书</v>
      </c>
    </row>
    <row r="1112" spans="1:3" x14ac:dyDescent="0.15">
      <c r="A1112" s="1">
        <v>40868</v>
      </c>
      <c r="B1112" t="s">
        <v>238</v>
      </c>
      <c r="C1112" s="2" t="str">
        <f>HYPERLINK("http://snap.windin.com/ns/bulletin.php?id=786181&amp;type=1", "道明光学:首次公开发行股票上市公告书")</f>
        <v>道明光学:首次公开发行股票上市公告书</v>
      </c>
    </row>
    <row r="1113" spans="1:3" x14ac:dyDescent="0.15">
      <c r="A1113" s="1">
        <v>40865</v>
      </c>
      <c r="B1113" t="s">
        <v>227</v>
      </c>
      <c r="C1113" s="2" t="str">
        <f>HYPERLINK("http://snap.windin.com/ns/bulletin.php?id=739142&amp;type=1", "永高股份:首次公开发行股票（A股）招股意向书")</f>
        <v>永高股份:首次公开发行股票（A股）招股意向书</v>
      </c>
    </row>
    <row r="1114" spans="1:3" x14ac:dyDescent="0.15">
      <c r="A1114" s="1">
        <v>40865</v>
      </c>
      <c r="B1114" t="s">
        <v>227</v>
      </c>
      <c r="C1114" s="2" t="str">
        <f>HYPERLINK("http://snap.windin.com/ns/bulletin.php?id=129376&amp;type=1", "永高股份:首次公开发行股票（A股）招股意向书摘要")</f>
        <v>永高股份:首次公开发行股票（A股）招股意向书摘要</v>
      </c>
    </row>
    <row r="1115" spans="1:3" x14ac:dyDescent="0.15">
      <c r="A1115" s="1">
        <v>40864</v>
      </c>
      <c r="B1115" t="s">
        <v>229</v>
      </c>
      <c r="C1115" s="2" t="str">
        <f>HYPERLINK("http://snap.windin.com/ns/bulletin.php?id=18451546&amp;type=1", "棒杰股份:首次公开发行股票招股意向书")</f>
        <v>棒杰股份:首次公开发行股票招股意向书</v>
      </c>
    </row>
    <row r="1116" spans="1:3" x14ac:dyDescent="0.15">
      <c r="A1116" s="1">
        <v>40864</v>
      </c>
      <c r="B1116" t="s">
        <v>230</v>
      </c>
      <c r="C1116" s="2" t="str">
        <f>HYPERLINK("http://snap.windin.com/ns/bulletin.php?id=1754400&amp;type=1", "雪人股份:首次公开发行股票招股说明书")</f>
        <v>雪人股份:首次公开发行股票招股说明书</v>
      </c>
    </row>
    <row r="1117" spans="1:3" x14ac:dyDescent="0.15">
      <c r="A1117" s="1">
        <v>40864</v>
      </c>
      <c r="B1117" t="s">
        <v>228</v>
      </c>
      <c r="C1117" s="2" t="str">
        <f>HYPERLINK("http://snap.windin.com/ns/bulletin.php?id=1311208&amp;type=1", "百圆裤业:首次公开发行股票并上市招股意向书")</f>
        <v>百圆裤业:首次公开发行股票并上市招股意向书</v>
      </c>
    </row>
    <row r="1118" spans="1:3" x14ac:dyDescent="0.15">
      <c r="A1118" s="1">
        <v>40864</v>
      </c>
      <c r="B1118" t="s">
        <v>229</v>
      </c>
      <c r="C1118" s="2" t="str">
        <f>HYPERLINK("http://snap.windin.com/ns/bulletin.php?id=1289601&amp;type=1", "棒杰股份:首次公开发行股票招股意向书摘要")</f>
        <v>棒杰股份:首次公开发行股票招股意向书摘要</v>
      </c>
    </row>
    <row r="1119" spans="1:3" x14ac:dyDescent="0.15">
      <c r="A1119" s="1">
        <v>40864</v>
      </c>
      <c r="B1119" t="s">
        <v>230</v>
      </c>
      <c r="C1119" s="2" t="str">
        <f>HYPERLINK("http://snap.windin.com/ns/bulletin.php?id=946483&amp;type=1", "雪人股份:首次公开发行股票招股说明书摘要")</f>
        <v>雪人股份:首次公开发行股票招股说明书摘要</v>
      </c>
    </row>
    <row r="1120" spans="1:3" x14ac:dyDescent="0.15">
      <c r="A1120" s="1">
        <v>40864</v>
      </c>
      <c r="B1120" t="s">
        <v>228</v>
      </c>
      <c r="C1120" s="2" t="str">
        <f>HYPERLINK("http://snap.windin.com/ns/bulletin.php?id=920133&amp;type=1", "百圆裤业:首次公开发行股票招股意向书摘要")</f>
        <v>百圆裤业:首次公开发行股票招股意向书摘要</v>
      </c>
    </row>
    <row r="1121" spans="1:3" x14ac:dyDescent="0.15">
      <c r="A1121" s="1">
        <v>40864</v>
      </c>
      <c r="B1121" t="s">
        <v>229</v>
      </c>
      <c r="C1121" s="2" t="str">
        <f>HYPERLINK("http://snap.windin.com/ns/bulletin.php?id=145724&amp;type=1", "棒杰股份:首次公开发行股票招股意向书")</f>
        <v>棒杰股份:首次公开发行股票招股意向书</v>
      </c>
    </row>
    <row r="1122" spans="1:3" x14ac:dyDescent="0.15">
      <c r="A1122" s="1">
        <v>40862</v>
      </c>
      <c r="B1122" t="s">
        <v>233</v>
      </c>
      <c r="C1122" s="2" t="str">
        <f>HYPERLINK("http://snap.windin.com/ns/bulletin.php?id=2040801&amp;type=1", "安洁科技:首次公开发行股票招股说明书")</f>
        <v>安洁科技:首次公开发行股票招股说明书</v>
      </c>
    </row>
    <row r="1123" spans="1:3" x14ac:dyDescent="0.15">
      <c r="A1123" s="1">
        <v>40862</v>
      </c>
      <c r="B1123" t="s">
        <v>233</v>
      </c>
      <c r="C1123" s="2" t="str">
        <f>HYPERLINK("http://snap.windin.com/ns/bulletin.php?id=1755566&amp;type=1", "安洁科技:首次公开发行股票招股说明书摘要")</f>
        <v>安洁科技:首次公开发行股票招股说明书摘要</v>
      </c>
    </row>
    <row r="1124" spans="1:3" x14ac:dyDescent="0.15">
      <c r="A1124" s="1">
        <v>40862</v>
      </c>
      <c r="B1124" t="s">
        <v>232</v>
      </c>
      <c r="C1124" s="2" t="str">
        <f>HYPERLINK("http://snap.windin.com/ns/bulletin.php?id=1696997&amp;type=1", "赞宇科技:首次公开发行股票招股说明书")</f>
        <v>赞宇科技:首次公开发行股票招股说明书</v>
      </c>
    </row>
    <row r="1125" spans="1:3" x14ac:dyDescent="0.15">
      <c r="A1125" s="1">
        <v>40862</v>
      </c>
      <c r="B1125" t="s">
        <v>232</v>
      </c>
      <c r="C1125" s="2" t="str">
        <f>HYPERLINK("http://snap.windin.com/ns/bulletin.php?id=1664340&amp;type=1", "赞宇科技:首次公开发行股票招股说明书摘要")</f>
        <v>赞宇科技:首次公开发行股票招股说明书摘要</v>
      </c>
    </row>
    <row r="1126" spans="1:3" x14ac:dyDescent="0.15">
      <c r="A1126" s="1">
        <v>40862</v>
      </c>
      <c r="B1126" t="s">
        <v>234</v>
      </c>
      <c r="C1126" s="2" t="str">
        <f>HYPERLINK("http://snap.windin.com/ns/bulletin.php?id=1659543&amp;type=1", "勤上光电:首次公开发行股票招股说明书")</f>
        <v>勤上光电:首次公开发行股票招股说明书</v>
      </c>
    </row>
    <row r="1127" spans="1:3" x14ac:dyDescent="0.15">
      <c r="A1127" s="1">
        <v>40862</v>
      </c>
      <c r="B1127" t="s">
        <v>234</v>
      </c>
      <c r="C1127" s="2" t="str">
        <f>HYPERLINK("http://snap.windin.com/ns/bulletin.php?id=1377231&amp;type=1", "勤上光电:首次公开发行股票招股说明书摘要")</f>
        <v>勤上光电:首次公开发行股票招股说明书摘要</v>
      </c>
    </row>
    <row r="1128" spans="1:3" x14ac:dyDescent="0.15">
      <c r="A1128" s="1">
        <v>40862</v>
      </c>
      <c r="B1128" t="s">
        <v>235</v>
      </c>
      <c r="C1128" s="2" t="str">
        <f>HYPERLINK("http://snap.windin.com/ns/bulletin.php?id=480902&amp;type=1", "金安国纪:首次公开发行股票招股说明书摘要")</f>
        <v>金安国纪:首次公开发行股票招股说明书摘要</v>
      </c>
    </row>
    <row r="1129" spans="1:3" x14ac:dyDescent="0.15">
      <c r="A1129" s="1">
        <v>40862</v>
      </c>
      <c r="B1129" t="s">
        <v>235</v>
      </c>
      <c r="C1129" s="2" t="str">
        <f>HYPERLINK("http://snap.windin.com/ns/bulletin.php?id=203938&amp;type=1", "金安国纪:首次公开发行股票招股说明书")</f>
        <v>金安国纪:首次公开发行股票招股说明书</v>
      </c>
    </row>
    <row r="1130" spans="1:3" x14ac:dyDescent="0.15">
      <c r="A1130" s="1">
        <v>40861</v>
      </c>
      <c r="B1130" t="s">
        <v>239</v>
      </c>
      <c r="C1130" s="2" t="str">
        <f>HYPERLINK("http://snap.windin.com/ns/bulletin.php?id=1982406&amp;type=1", "三丰智能:首次公开发行股票并在创业板上市之上市公告书")</f>
        <v>三丰智能:首次公开发行股票并在创业板上市之上市公告书</v>
      </c>
    </row>
    <row r="1131" spans="1:3" x14ac:dyDescent="0.15">
      <c r="A1131" s="1">
        <v>40861</v>
      </c>
      <c r="B1131" t="s">
        <v>239</v>
      </c>
      <c r="C1131" s="2" t="str">
        <f>HYPERLINK("http://snap.windin.com/ns/bulletin.php?id=970232&amp;type=1", "三丰智能:首次公开发行股票并在创业板上市公告书提示性公告")</f>
        <v>三丰智能:首次公开发行股票并在创业板上市公告书提示性公告</v>
      </c>
    </row>
    <row r="1132" spans="1:3" x14ac:dyDescent="0.15">
      <c r="A1132" s="1">
        <v>40858</v>
      </c>
      <c r="B1132" t="s">
        <v>236</v>
      </c>
      <c r="C1132" s="2" t="str">
        <f>HYPERLINK("http://snap.windin.com/ns/bulletin.php?id=2053043&amp;type=1", "海联讯:首次公开发行股票并在创业板上市招股说明书")</f>
        <v>海联讯:首次公开发行股票并在创业板上市招股说明书</v>
      </c>
    </row>
    <row r="1133" spans="1:3" x14ac:dyDescent="0.15">
      <c r="A1133" s="1">
        <v>40858</v>
      </c>
      <c r="B1133" t="s">
        <v>231</v>
      </c>
      <c r="C1133" s="2" t="str">
        <f>HYPERLINK("http://snap.windin.com/ns/bulletin.php?id=1953525&amp;type=1", "凤凰传媒:首次公开发行A股股票招股意向书附录二")</f>
        <v>凤凰传媒:首次公开发行A股股票招股意向书附录二</v>
      </c>
    </row>
    <row r="1134" spans="1:3" x14ac:dyDescent="0.15">
      <c r="A1134" s="1">
        <v>40858</v>
      </c>
      <c r="B1134" t="s">
        <v>231</v>
      </c>
      <c r="C1134" s="2" t="str">
        <f>HYPERLINK("http://snap.windin.com/ns/bulletin.php?id=1641200&amp;type=1", "凤凰传媒:首次公开发行A股股票招股意向书")</f>
        <v>凤凰传媒:首次公开发行A股股票招股意向书</v>
      </c>
    </row>
    <row r="1135" spans="1:3" x14ac:dyDescent="0.15">
      <c r="A1135" s="1">
        <v>40858</v>
      </c>
      <c r="B1135" t="s">
        <v>231</v>
      </c>
      <c r="C1135" s="2" t="str">
        <f>HYPERLINK("http://snap.windin.com/ns/bulletin.php?id=1594359&amp;type=1", "凤凰传媒:首次公开发行A股股票招股意向书摘要")</f>
        <v>凤凰传媒:首次公开发行A股股票招股意向书摘要</v>
      </c>
    </row>
    <row r="1136" spans="1:3" x14ac:dyDescent="0.15">
      <c r="A1136" s="1">
        <v>40858</v>
      </c>
      <c r="B1136" t="s">
        <v>231</v>
      </c>
      <c r="C1136" s="2" t="str">
        <f>HYPERLINK("http://snap.windin.com/ns/bulletin.php?id=1345555&amp;type=1", "凤凰传媒:首次公开发行A股股票招股意向书附录三")</f>
        <v>凤凰传媒:首次公开发行A股股票招股意向书附录三</v>
      </c>
    </row>
    <row r="1137" spans="1:3" x14ac:dyDescent="0.15">
      <c r="A1137" s="1">
        <v>40858</v>
      </c>
      <c r="B1137" t="s">
        <v>231</v>
      </c>
      <c r="C1137" s="2" t="str">
        <f>HYPERLINK("http://snap.windin.com/ns/bulletin.php?id=1076590&amp;type=1", "凤凰传媒:首次公开发行A股股票招股意向书附录一")</f>
        <v>凤凰传媒:首次公开发行A股股票招股意向书附录一</v>
      </c>
    </row>
    <row r="1138" spans="1:3" x14ac:dyDescent="0.15">
      <c r="A1138" s="1">
        <v>40857</v>
      </c>
      <c r="B1138" t="s">
        <v>240</v>
      </c>
      <c r="C1138" s="2" t="str">
        <f>HYPERLINK("http://snap.windin.com/ns/bulletin.php?id=1897307&amp;type=1", "华西能源:首次公开发行股票上市公告书")</f>
        <v>华西能源:首次公开发行股票上市公告书</v>
      </c>
    </row>
    <row r="1139" spans="1:3" x14ac:dyDescent="0.15">
      <c r="A1139" s="1">
        <v>40857</v>
      </c>
      <c r="B1139" t="s">
        <v>237</v>
      </c>
      <c r="C1139" s="2" t="str">
        <f>HYPERLINK("http://snap.windin.com/ns/bulletin.php?id=1799191&amp;type=1", "申科股份:首次公开发行股票招股说明书摘要")</f>
        <v>申科股份:首次公开发行股票招股说明书摘要</v>
      </c>
    </row>
    <row r="1140" spans="1:3" x14ac:dyDescent="0.15">
      <c r="A1140" s="1">
        <v>40857</v>
      </c>
      <c r="B1140" t="s">
        <v>241</v>
      </c>
      <c r="C1140" s="2" t="str">
        <f>HYPERLINK("http://snap.windin.com/ns/bulletin.php?id=1520199&amp;type=1", "八菱科技:首次公开发行股票上市公告书")</f>
        <v>八菱科技:首次公开发行股票上市公告书</v>
      </c>
    </row>
    <row r="1141" spans="1:3" x14ac:dyDescent="0.15">
      <c r="A1141" s="1">
        <v>40857</v>
      </c>
      <c r="B1141" t="s">
        <v>242</v>
      </c>
      <c r="C1141" s="2" t="str">
        <f>HYPERLINK("http://snap.windin.com/ns/bulletin.php?id=468349&amp;type=1", "德尔家居:首次公开发行股票上市公告书")</f>
        <v>德尔家居:首次公开发行股票上市公告书</v>
      </c>
    </row>
    <row r="1142" spans="1:3" x14ac:dyDescent="0.15">
      <c r="A1142" s="1">
        <v>40857</v>
      </c>
      <c r="B1142" t="s">
        <v>237</v>
      </c>
      <c r="C1142" s="2" t="str">
        <f>HYPERLINK("http://snap.windin.com/ns/bulletin.php?id=182784&amp;type=1", "申科股份:首次公开发行股票招股说明书")</f>
        <v>申科股份:首次公开发行股票招股说明书</v>
      </c>
    </row>
    <row r="1143" spans="1:3" x14ac:dyDescent="0.15">
      <c r="A1143" s="1">
        <v>40856</v>
      </c>
      <c r="B1143" t="s">
        <v>230</v>
      </c>
      <c r="C1143" s="2" t="str">
        <f>HYPERLINK("http://snap.windin.com/ns/bulletin.php?id=18490860&amp;type=1", "雪人股份:首次公开发行股票招股意向书")</f>
        <v>雪人股份:首次公开发行股票招股意向书</v>
      </c>
    </row>
    <row r="1144" spans="1:3" x14ac:dyDescent="0.15">
      <c r="A1144" s="1">
        <v>40856</v>
      </c>
      <c r="B1144" t="s">
        <v>230</v>
      </c>
      <c r="C1144" s="2" t="str">
        <f>HYPERLINK("http://snap.windin.com/ns/bulletin.php?id=1028294&amp;type=1", "雪人股份:首次公开发行股票招股意向书摘要")</f>
        <v>雪人股份:首次公开发行股票招股意向书摘要</v>
      </c>
    </row>
    <row r="1145" spans="1:3" x14ac:dyDescent="0.15">
      <c r="A1145" s="1">
        <v>40856</v>
      </c>
      <c r="B1145" t="s">
        <v>230</v>
      </c>
      <c r="C1145" s="2" t="str">
        <f>HYPERLINK("http://snap.windin.com/ns/bulletin.php?id=635406&amp;type=1", "雪人股份:首次公开发行股票招股意向书")</f>
        <v>雪人股份:首次公开发行股票招股意向书</v>
      </c>
    </row>
    <row r="1146" spans="1:3" x14ac:dyDescent="0.15">
      <c r="A1146" s="1">
        <v>40855</v>
      </c>
      <c r="B1146" t="s">
        <v>234</v>
      </c>
      <c r="C1146" s="2" t="str">
        <f>HYPERLINK("http://snap.windin.com/ns/bulletin.php?id=1909173&amp;type=1", "勤上光电:首次公开发行股票招股意向书摘要")</f>
        <v>勤上光电:首次公开发行股票招股意向书摘要</v>
      </c>
    </row>
    <row r="1147" spans="1:3" x14ac:dyDescent="0.15">
      <c r="A1147" s="1">
        <v>40855</v>
      </c>
      <c r="B1147" t="s">
        <v>234</v>
      </c>
      <c r="C1147" s="2" t="str">
        <f>HYPERLINK("http://snap.windin.com/ns/bulletin.php?id=1320832&amp;type=1", "勤上光电:首次公开发行股票招股意向书")</f>
        <v>勤上光电:首次公开发行股票招股意向书</v>
      </c>
    </row>
    <row r="1148" spans="1:3" x14ac:dyDescent="0.15">
      <c r="A1148" s="1">
        <v>40855</v>
      </c>
      <c r="B1148" t="s">
        <v>235</v>
      </c>
      <c r="C1148" s="2" t="str">
        <f>HYPERLINK("http://snap.windin.com/ns/bulletin.php?id=733272&amp;type=1", "金安国纪:首次公开发行股票招股意向书摘要")</f>
        <v>金安国纪:首次公开发行股票招股意向书摘要</v>
      </c>
    </row>
    <row r="1149" spans="1:3" x14ac:dyDescent="0.15">
      <c r="A1149" s="1">
        <v>40855</v>
      </c>
      <c r="B1149" t="s">
        <v>235</v>
      </c>
      <c r="C1149" s="2" t="str">
        <f>HYPERLINK("http://snap.windin.com/ns/bulletin.php?id=435647&amp;type=1", "金安国纪:首次公开发行股票招股意向书")</f>
        <v>金安国纪:首次公开发行股票招股意向书</v>
      </c>
    </row>
    <row r="1150" spans="1:3" x14ac:dyDescent="0.15">
      <c r="A1150" s="1">
        <v>40855</v>
      </c>
      <c r="B1150" t="s">
        <v>232</v>
      </c>
      <c r="C1150" s="2" t="str">
        <f>HYPERLINK("http://snap.windin.com/ns/bulletin.php?id=431186&amp;type=1", "赞宇科技:首次公开发行股票招股意向书摘要")</f>
        <v>赞宇科技:首次公开发行股票招股意向书摘要</v>
      </c>
    </row>
    <row r="1151" spans="1:3" x14ac:dyDescent="0.15">
      <c r="A1151" s="1">
        <v>40855</v>
      </c>
      <c r="B1151" t="s">
        <v>232</v>
      </c>
      <c r="C1151" s="2" t="str">
        <f>HYPERLINK("http://snap.windin.com/ns/bulletin.php?id=109433&amp;type=1", "赞宇科技:首次公开发行股票招股意向书")</f>
        <v>赞宇科技:首次公开发行股票招股意向书</v>
      </c>
    </row>
    <row r="1152" spans="1:3" x14ac:dyDescent="0.15">
      <c r="A1152" s="1">
        <v>40854</v>
      </c>
      <c r="B1152" t="s">
        <v>238</v>
      </c>
      <c r="C1152" s="2" t="str">
        <f>HYPERLINK("http://snap.windin.com/ns/bulletin.php?id=1319415&amp;type=1", "道明光学:首次公开发行股票招股说明书")</f>
        <v>道明光学:首次公开发行股票招股说明书</v>
      </c>
    </row>
    <row r="1153" spans="1:3" x14ac:dyDescent="0.15">
      <c r="A1153" s="1">
        <v>40854</v>
      </c>
      <c r="B1153" t="s">
        <v>238</v>
      </c>
      <c r="C1153" s="2" t="str">
        <f>HYPERLINK("http://snap.windin.com/ns/bulletin.php?id=527142&amp;type=1", "道明光学:首次公开发行股票招股说明书摘要")</f>
        <v>道明光学:首次公开发行股票招股说明书摘要</v>
      </c>
    </row>
    <row r="1154" spans="1:3" x14ac:dyDescent="0.15">
      <c r="A1154" s="1">
        <v>40851</v>
      </c>
      <c r="B1154" t="s">
        <v>236</v>
      </c>
      <c r="C1154" s="2" t="str">
        <f>HYPERLINK("http://snap.windin.com/ns/bulletin.php?id=1495988&amp;type=1", "海联讯:首次公开发行股票并在创业板上市招股意向书")</f>
        <v>海联讯:首次公开发行股票并在创业板上市招股意向书</v>
      </c>
    </row>
    <row r="1155" spans="1:3" x14ac:dyDescent="0.15">
      <c r="A1155" s="1">
        <v>40851</v>
      </c>
      <c r="B1155" t="s">
        <v>243</v>
      </c>
      <c r="C1155" s="2" t="str">
        <f>HYPERLINK("http://snap.windin.com/ns/bulletin.php?id=1131265&amp;type=1", "玉龙股份:首次公开发行股票招股说明书")</f>
        <v>玉龙股份:首次公开发行股票招股说明书</v>
      </c>
    </row>
    <row r="1156" spans="1:3" x14ac:dyDescent="0.15">
      <c r="A1156" s="1">
        <v>40851</v>
      </c>
      <c r="B1156" t="s">
        <v>233</v>
      </c>
      <c r="C1156" s="2" t="str">
        <f>HYPERLINK("http://snap.windin.com/ns/bulletin.php?id=878163&amp;type=1", "安洁科技:首次公开发行股票招股意向书摘要")</f>
        <v>安洁科技:首次公开发行股票招股意向书摘要</v>
      </c>
    </row>
    <row r="1157" spans="1:3" x14ac:dyDescent="0.15">
      <c r="A1157" s="1">
        <v>40851</v>
      </c>
      <c r="B1157" t="s">
        <v>243</v>
      </c>
      <c r="C1157" s="2" t="str">
        <f>HYPERLINK("http://snap.windin.com/ns/bulletin.php?id=629737&amp;type=1", "玉龙股份:首次公开发行A股股票上市公告书")</f>
        <v>玉龙股份:首次公开发行A股股票上市公告书</v>
      </c>
    </row>
    <row r="1158" spans="1:3" x14ac:dyDescent="0.15">
      <c r="A1158" s="1">
        <v>40851</v>
      </c>
      <c r="B1158" t="s">
        <v>233</v>
      </c>
      <c r="C1158" s="2" t="str">
        <f>HYPERLINK("http://snap.windin.com/ns/bulletin.php?id=107929&amp;type=1", "安洁科技:首次公开发行股票招股意向书")</f>
        <v>安洁科技:首次公开发行股票招股意向书</v>
      </c>
    </row>
    <row r="1159" spans="1:3" x14ac:dyDescent="0.15">
      <c r="A1159" s="1">
        <v>40850</v>
      </c>
      <c r="B1159" t="s">
        <v>240</v>
      </c>
      <c r="C1159" s="2" t="str">
        <f>HYPERLINK("http://snap.windin.com/ns/bulletin.php?id=2069591&amp;type=1", "华西能源:首次公开发行股票招股说明书摘要")</f>
        <v>华西能源:首次公开发行股票招股说明书摘要</v>
      </c>
    </row>
    <row r="1160" spans="1:3" x14ac:dyDescent="0.15">
      <c r="A1160" s="1">
        <v>40850</v>
      </c>
      <c r="B1160" t="s">
        <v>240</v>
      </c>
      <c r="C1160" s="2" t="str">
        <f>HYPERLINK("http://snap.windin.com/ns/bulletin.php?id=113580&amp;type=1", "华西能源:首次公开发行股票招股说明书")</f>
        <v>华西能源:首次公开发行股票招股说明书</v>
      </c>
    </row>
    <row r="1161" spans="1:3" x14ac:dyDescent="0.15">
      <c r="A1161" s="1">
        <v>40849</v>
      </c>
      <c r="B1161" t="s">
        <v>244</v>
      </c>
      <c r="C1161" s="2" t="str">
        <f>HYPERLINK("http://snap.windin.com/ns/bulletin.php?id=2013624&amp;type=1", "成都路桥:首次公开发行股票上市公告书")</f>
        <v>成都路桥:首次公开发行股票上市公告书</v>
      </c>
    </row>
    <row r="1162" spans="1:3" x14ac:dyDescent="0.15">
      <c r="A1162" s="1">
        <v>40849</v>
      </c>
      <c r="B1162" t="s">
        <v>245</v>
      </c>
      <c r="C1162" s="2" t="str">
        <f>HYPERLINK("http://snap.windin.com/ns/bulletin.php?id=1521479&amp;type=1", "龙生股份:首次公开发行股票上市公告书")</f>
        <v>龙生股份:首次公开发行股票上市公告书</v>
      </c>
    </row>
    <row r="1163" spans="1:3" x14ac:dyDescent="0.15">
      <c r="A1163" s="1">
        <v>40849</v>
      </c>
      <c r="B1163" t="s">
        <v>237</v>
      </c>
      <c r="C1163" s="2" t="str">
        <f>HYPERLINK("http://snap.windin.com/ns/bulletin.php?id=1506141&amp;type=1", "申科股份:首次公开发行股票招股意向书")</f>
        <v>申科股份:首次公开发行股票招股意向书</v>
      </c>
    </row>
    <row r="1164" spans="1:3" x14ac:dyDescent="0.15">
      <c r="A1164" s="1">
        <v>40849</v>
      </c>
      <c r="B1164" t="s">
        <v>246</v>
      </c>
      <c r="C1164" s="2" t="str">
        <f>HYPERLINK("http://snap.windin.com/ns/bulletin.php?id=1277602&amp;type=1", "宜昌交运:首次公开发行股票上市公告书")</f>
        <v>宜昌交运:首次公开发行股票上市公告书</v>
      </c>
    </row>
    <row r="1165" spans="1:3" x14ac:dyDescent="0.15">
      <c r="A1165" s="1">
        <v>40849</v>
      </c>
      <c r="B1165" t="s">
        <v>239</v>
      </c>
      <c r="C1165" s="2" t="str">
        <f>HYPERLINK("http://snap.windin.com/ns/bulletin.php?id=882519&amp;type=1", "三丰智能:首次公开发行股票并在创业板上市招股说明书")</f>
        <v>三丰智能:首次公开发行股票并在创业板上市招股说明书</v>
      </c>
    </row>
    <row r="1166" spans="1:3" x14ac:dyDescent="0.15">
      <c r="A1166" s="1">
        <v>40849</v>
      </c>
      <c r="B1166" t="s">
        <v>237</v>
      </c>
      <c r="C1166" s="2" t="str">
        <f>HYPERLINK("http://snap.windin.com/ns/bulletin.php?id=515454&amp;type=1", "申科股份:首次公开发行股票招股意向书摘要")</f>
        <v>申科股份:首次公开发行股票招股意向书摘要</v>
      </c>
    </row>
    <row r="1167" spans="1:3" x14ac:dyDescent="0.15">
      <c r="A1167" s="1">
        <v>40849</v>
      </c>
      <c r="B1167" t="s">
        <v>247</v>
      </c>
      <c r="C1167" s="2" t="str">
        <f>HYPERLINK("http://snap.windin.com/ns/bulletin.php?id=119294&amp;type=1", "仁智油服:首次公开发行股票上市公告书")</f>
        <v>仁智油服:首次公开发行股票上市公告书</v>
      </c>
    </row>
    <row r="1168" spans="1:3" x14ac:dyDescent="0.15">
      <c r="A1168" s="1">
        <v>40848</v>
      </c>
      <c r="B1168" t="s">
        <v>248</v>
      </c>
      <c r="C1168" s="2" t="str">
        <f>HYPERLINK("http://snap.windin.com/ns/bulletin.php?id=1882812&amp;type=1", "梅安森:首次公开发行股票并在创业板上市公告书提示性公告")</f>
        <v>梅安森:首次公开发行股票并在创业板上市公告书提示性公告</v>
      </c>
    </row>
    <row r="1169" spans="1:3" x14ac:dyDescent="0.15">
      <c r="A1169" s="1">
        <v>40848</v>
      </c>
      <c r="B1169" t="s">
        <v>249</v>
      </c>
      <c r="C1169" s="2" t="str">
        <f>HYPERLINK("http://snap.windin.com/ns/bulletin.php?id=1733209&amp;type=1", "开能环保:首次公开发行股票并在创业板上市之上市公告书提示性公告")</f>
        <v>开能环保:首次公开发行股票并在创业板上市之上市公告书提示性公告</v>
      </c>
    </row>
    <row r="1170" spans="1:3" x14ac:dyDescent="0.15">
      <c r="A1170" s="1">
        <v>40848</v>
      </c>
      <c r="B1170" t="s">
        <v>242</v>
      </c>
      <c r="C1170" s="2" t="str">
        <f>HYPERLINK("http://snap.windin.com/ns/bulletin.php?id=1674187&amp;type=1", "德尔家居:首次公开发行股票招股说明书")</f>
        <v>德尔家居:首次公开发行股票招股说明书</v>
      </c>
    </row>
    <row r="1171" spans="1:3" x14ac:dyDescent="0.15">
      <c r="A1171" s="1">
        <v>40848</v>
      </c>
      <c r="B1171" t="s">
        <v>250</v>
      </c>
      <c r="C1171" s="2" t="str">
        <f>HYPERLINK("http://snap.windin.com/ns/bulletin.php?id=1594534&amp;type=1", "阳光电源:首次公开发行股票并在创业板上市之上市公告书")</f>
        <v>阳光电源:首次公开发行股票并在创业板上市之上市公告书</v>
      </c>
    </row>
    <row r="1172" spans="1:3" x14ac:dyDescent="0.15">
      <c r="A1172" s="1">
        <v>40848</v>
      </c>
      <c r="B1172" t="s">
        <v>242</v>
      </c>
      <c r="C1172" s="2" t="str">
        <f>HYPERLINK("http://snap.windin.com/ns/bulletin.php?id=1255043&amp;type=1", "德尔家居:首次公开发行股票招股说明书摘要")</f>
        <v>德尔家居:首次公开发行股票招股说明书摘要</v>
      </c>
    </row>
    <row r="1173" spans="1:3" x14ac:dyDescent="0.15">
      <c r="A1173" s="1">
        <v>40848</v>
      </c>
      <c r="B1173" t="s">
        <v>248</v>
      </c>
      <c r="C1173" s="2" t="str">
        <f>HYPERLINK("http://snap.windin.com/ns/bulletin.php?id=820726&amp;type=1", "梅安森:首次公开发行股票并在创业板上市之上市公告书")</f>
        <v>梅安森:首次公开发行股票并在创业板上市之上市公告书</v>
      </c>
    </row>
    <row r="1174" spans="1:3" x14ac:dyDescent="0.15">
      <c r="A1174" s="1">
        <v>40848</v>
      </c>
      <c r="B1174" t="s">
        <v>250</v>
      </c>
      <c r="C1174" s="2" t="str">
        <f>HYPERLINK("http://snap.windin.com/ns/bulletin.php?id=555080&amp;type=1", "阳光电源:首次公开发行股票并在创业板上市之上市公告书提示性公告")</f>
        <v>阳光电源:首次公开发行股票并在创业板上市之上市公告书提示性公告</v>
      </c>
    </row>
    <row r="1175" spans="1:3" x14ac:dyDescent="0.15">
      <c r="A1175" s="1">
        <v>40848</v>
      </c>
      <c r="B1175" t="s">
        <v>249</v>
      </c>
      <c r="C1175" s="2" t="str">
        <f>HYPERLINK("http://snap.windin.com/ns/bulletin.php?id=500507&amp;type=1", "开能环保:首次公开发行股票并在创业板上市之上市公告书")</f>
        <v>开能环保:首次公开发行股票并在创业板上市之上市公告书</v>
      </c>
    </row>
    <row r="1176" spans="1:3" x14ac:dyDescent="0.15">
      <c r="A1176" s="1">
        <v>40844</v>
      </c>
      <c r="B1176" t="s">
        <v>238</v>
      </c>
      <c r="C1176" s="2" t="str">
        <f>HYPERLINK("http://snap.windin.com/ns/bulletin.php?id=1153582&amp;type=1", "道明光学:首次公开发行股票招股意向书")</f>
        <v>道明光学:首次公开发行股票招股意向书</v>
      </c>
    </row>
    <row r="1177" spans="1:3" x14ac:dyDescent="0.15">
      <c r="A1177" s="1">
        <v>40844</v>
      </c>
      <c r="B1177" t="s">
        <v>238</v>
      </c>
      <c r="C1177" s="2" t="str">
        <f>HYPERLINK("http://snap.windin.com/ns/bulletin.php?id=987367&amp;type=1", "道明光学:首次公开发行股票招股意向书摘要")</f>
        <v>道明光学:首次公开发行股票招股意向书摘要</v>
      </c>
    </row>
    <row r="1178" spans="1:3" x14ac:dyDescent="0.15">
      <c r="A1178" s="1">
        <v>40844</v>
      </c>
      <c r="B1178" t="s">
        <v>241</v>
      </c>
      <c r="C1178" s="2" t="str">
        <f>HYPERLINK("http://snap.windin.com/ns/bulletin.php?id=102328&amp;type=1", "八菱科技:首次公开发行股票招股说明书")</f>
        <v>八菱科技:首次公开发行股票招股说明书</v>
      </c>
    </row>
    <row r="1179" spans="1:3" x14ac:dyDescent="0.15">
      <c r="A1179" s="1">
        <v>40844</v>
      </c>
      <c r="B1179" t="s">
        <v>241</v>
      </c>
      <c r="C1179" s="2" t="str">
        <f>HYPERLINK("http://snap.windin.com/ns/bulletin.php?id=79293&amp;type=1", "八菱科技:首次公开发行股票招股说明书摘要")</f>
        <v>八菱科技:首次公开发行股票招股说明书摘要</v>
      </c>
    </row>
    <row r="1180" spans="1:3" x14ac:dyDescent="0.15">
      <c r="A1180" s="1">
        <v>40843</v>
      </c>
      <c r="B1180" t="s">
        <v>251</v>
      </c>
      <c r="C1180" s="2" t="str">
        <f>HYPERLINK("http://snap.windin.com/ns/bulletin.php?id=1730445&amp;type=1", "恒立油缸:首次公开发行股票招股说明书")</f>
        <v>恒立油缸:首次公开发行股票招股说明书</v>
      </c>
    </row>
    <row r="1181" spans="1:3" x14ac:dyDescent="0.15">
      <c r="A1181" s="1">
        <v>40843</v>
      </c>
      <c r="B1181" t="s">
        <v>251</v>
      </c>
      <c r="C1181" s="2" t="str">
        <f>HYPERLINK("http://snap.windin.com/ns/bulletin.php?id=1355773&amp;type=1", "恒立油缸:首次公开发行A股股票上市公告书")</f>
        <v>恒立油缸:首次公开发行A股股票上市公告书</v>
      </c>
    </row>
    <row r="1182" spans="1:3" x14ac:dyDescent="0.15">
      <c r="A1182" s="1">
        <v>40843</v>
      </c>
      <c r="B1182" t="s">
        <v>252</v>
      </c>
      <c r="C1182" s="2" t="str">
        <f>HYPERLINK("http://snap.windin.com/ns/bulletin.php?id=1050403&amp;type=1", "金磊股份:首次公开发行股票上市公告书")</f>
        <v>金磊股份:首次公开发行股票上市公告书</v>
      </c>
    </row>
    <row r="1183" spans="1:3" x14ac:dyDescent="0.15">
      <c r="A1183" s="1">
        <v>40843</v>
      </c>
      <c r="B1183" t="s">
        <v>253</v>
      </c>
      <c r="C1183" s="2" t="str">
        <f>HYPERLINK("http://snap.windin.com/ns/bulletin.php?id=174622&amp;type=1", "金达威:首次公开发行股票上市公告书")</f>
        <v>金达威:首次公开发行股票上市公告书</v>
      </c>
    </row>
    <row r="1184" spans="1:3" x14ac:dyDescent="0.15">
      <c r="A1184" s="1">
        <v>40842</v>
      </c>
      <c r="B1184" t="s">
        <v>239</v>
      </c>
      <c r="C1184" s="2" t="str">
        <f>HYPERLINK("http://snap.windin.com/ns/bulletin.php?id=1892287&amp;type=1", "三丰智能:首次公开发行股票并在创业板上市招股意向书")</f>
        <v>三丰智能:首次公开发行股票并在创业板上市招股意向书</v>
      </c>
    </row>
    <row r="1185" spans="1:3" x14ac:dyDescent="0.15">
      <c r="A1185" s="1">
        <v>40841</v>
      </c>
      <c r="B1185" t="s">
        <v>242</v>
      </c>
      <c r="C1185" s="2" t="str">
        <f>HYPERLINK("http://snap.windin.com/ns/bulletin.php?id=18534764&amp;type=1", "德尔家居:首次公开发行股票招股意向书")</f>
        <v>德尔家居:首次公开发行股票招股意向书</v>
      </c>
    </row>
    <row r="1186" spans="1:3" x14ac:dyDescent="0.15">
      <c r="A1186" s="1">
        <v>40841</v>
      </c>
      <c r="B1186" t="s">
        <v>254</v>
      </c>
      <c r="C1186" s="2" t="str">
        <f>HYPERLINK("http://snap.windin.com/ns/bulletin.php?id=2100547&amp;type=1", "紫光华宇:首次公开发行股票并在创业板上市上市公告书提示性公告")</f>
        <v>紫光华宇:首次公开发行股票并在创业板上市上市公告书提示性公告</v>
      </c>
    </row>
    <row r="1187" spans="1:3" x14ac:dyDescent="0.15">
      <c r="A1187" s="1">
        <v>40841</v>
      </c>
      <c r="B1187" t="s">
        <v>245</v>
      </c>
      <c r="C1187" s="2" t="str">
        <f>HYPERLINK("http://snap.windin.com/ns/bulletin.php?id=2032525&amp;type=1", "龙生股份:首次公开发行股票招股说明书摘要")</f>
        <v>龙生股份:首次公开发行股票招股说明书摘要</v>
      </c>
    </row>
    <row r="1188" spans="1:3" x14ac:dyDescent="0.15">
      <c r="A1188" s="1">
        <v>40841</v>
      </c>
      <c r="B1188" t="s">
        <v>240</v>
      </c>
      <c r="C1188" s="2" t="str">
        <f>HYPERLINK("http://snap.windin.com/ns/bulletin.php?id=1905165&amp;type=1", "华西能源:首次公开发行股票招股意向书")</f>
        <v>华西能源:首次公开发行股票招股意向书</v>
      </c>
    </row>
    <row r="1189" spans="1:3" x14ac:dyDescent="0.15">
      <c r="A1189" s="1">
        <v>40841</v>
      </c>
      <c r="B1189" t="s">
        <v>240</v>
      </c>
      <c r="C1189" s="2" t="str">
        <f>HYPERLINK("http://snap.windin.com/ns/bulletin.php?id=1900793&amp;type=1", "华西能源:首次公开发行股票招股意向书摘要")</f>
        <v>华西能源:首次公开发行股票招股意向书摘要</v>
      </c>
    </row>
    <row r="1190" spans="1:3" x14ac:dyDescent="0.15">
      <c r="A1190" s="1">
        <v>40841</v>
      </c>
      <c r="B1190" t="s">
        <v>242</v>
      </c>
      <c r="C1190" s="2" t="str">
        <f>HYPERLINK("http://snap.windin.com/ns/bulletin.php?id=1586827&amp;type=1", "德尔家居:首次公开发行股票招股意向书")</f>
        <v>德尔家居:首次公开发行股票招股意向书</v>
      </c>
    </row>
    <row r="1191" spans="1:3" x14ac:dyDescent="0.15">
      <c r="A1191" s="1">
        <v>40841</v>
      </c>
      <c r="B1191" t="s">
        <v>247</v>
      </c>
      <c r="C1191" s="2" t="str">
        <f>HYPERLINK("http://snap.windin.com/ns/bulletin.php?id=1266951&amp;type=1", "仁智油服:首次公开发行股票招股说明书")</f>
        <v>仁智油服:首次公开发行股票招股说明书</v>
      </c>
    </row>
    <row r="1192" spans="1:3" x14ac:dyDescent="0.15">
      <c r="A1192" s="1">
        <v>40841</v>
      </c>
      <c r="B1192" t="s">
        <v>245</v>
      </c>
      <c r="C1192" s="2" t="str">
        <f>HYPERLINK("http://snap.windin.com/ns/bulletin.php?id=1118441&amp;type=1", "龙生股份:首次公开发行股票招股说明书")</f>
        <v>龙生股份:首次公开发行股票招股说明书</v>
      </c>
    </row>
    <row r="1193" spans="1:3" x14ac:dyDescent="0.15">
      <c r="A1193" s="1">
        <v>40841</v>
      </c>
      <c r="B1193" t="s">
        <v>254</v>
      </c>
      <c r="C1193" s="2" t="str">
        <f>HYPERLINK("http://snap.windin.com/ns/bulletin.php?id=849497&amp;type=1", "紫光华宇:首次公开发行股票并在创业板上市上市公告书")</f>
        <v>紫光华宇:首次公开发行股票并在创业板上市上市公告书</v>
      </c>
    </row>
    <row r="1194" spans="1:3" x14ac:dyDescent="0.15">
      <c r="A1194" s="1">
        <v>40841</v>
      </c>
      <c r="B1194" t="s">
        <v>247</v>
      </c>
      <c r="C1194" s="2" t="str">
        <f>HYPERLINK("http://snap.windin.com/ns/bulletin.php?id=763907&amp;type=1", "仁智油服:首次公开发行股票招股说明书摘要")</f>
        <v>仁智油服:首次公开发行股票招股说明书摘要</v>
      </c>
    </row>
    <row r="1195" spans="1:3" x14ac:dyDescent="0.15">
      <c r="A1195" s="1">
        <v>40841</v>
      </c>
      <c r="B1195" t="s">
        <v>255</v>
      </c>
      <c r="C1195" s="2" t="str">
        <f>HYPERLINK("http://snap.windin.com/ns/bulletin.php?id=742783&amp;type=1", "和佳股份:首次公开发行股票并在创业板上市公告书提示性公告")</f>
        <v>和佳股份:首次公开发行股票并在创业板上市公告书提示性公告</v>
      </c>
    </row>
    <row r="1196" spans="1:3" x14ac:dyDescent="0.15">
      <c r="A1196" s="1">
        <v>40841</v>
      </c>
      <c r="B1196" t="s">
        <v>242</v>
      </c>
      <c r="C1196" s="2" t="str">
        <f>HYPERLINK("http://snap.windin.com/ns/bulletin.php?id=704285&amp;type=1", "德尔家居:首次公开发行股票招股意向书摘要")</f>
        <v>德尔家居:首次公开发行股票招股意向书摘要</v>
      </c>
    </row>
    <row r="1197" spans="1:3" x14ac:dyDescent="0.15">
      <c r="A1197" s="1">
        <v>40841</v>
      </c>
      <c r="B1197" t="s">
        <v>255</v>
      </c>
      <c r="C1197" s="2" t="str">
        <f>HYPERLINK("http://snap.windin.com/ns/bulletin.php?id=111930&amp;type=1", "和佳股份:首次公开发行股票并在创业板上市公告书")</f>
        <v>和佳股份:首次公开发行股票并在创业板上市公告书</v>
      </c>
    </row>
    <row r="1198" spans="1:3" x14ac:dyDescent="0.15">
      <c r="A1198" s="1">
        <v>40840</v>
      </c>
      <c r="B1198" t="s">
        <v>244</v>
      </c>
      <c r="C1198" s="2" t="str">
        <f>HYPERLINK("http://snap.windin.com/ns/bulletin.php?id=2114189&amp;type=1", "成都路桥:首次公开发行股票招股说明书摘要")</f>
        <v>成都路桥:首次公开发行股票招股说明书摘要</v>
      </c>
    </row>
    <row r="1199" spans="1:3" x14ac:dyDescent="0.15">
      <c r="A1199" s="1">
        <v>40840</v>
      </c>
      <c r="B1199" t="s">
        <v>244</v>
      </c>
      <c r="C1199" s="2" t="str">
        <f>HYPERLINK("http://snap.windin.com/ns/bulletin.php?id=944233&amp;type=1", "成都路桥:首次公开发行股票招股说明书")</f>
        <v>成都路桥:首次公开发行股票招股说明书</v>
      </c>
    </row>
    <row r="1200" spans="1:3" x14ac:dyDescent="0.15">
      <c r="A1200" s="1">
        <v>40840</v>
      </c>
      <c r="B1200" t="s">
        <v>248</v>
      </c>
      <c r="C1200" s="2" t="str">
        <f>HYPERLINK("http://snap.windin.com/ns/bulletin.php?id=594954&amp;type=1", "梅安森:首次发行股票并在创业板上市招股说明书")</f>
        <v>梅安森:首次发行股票并在创业板上市招股说明书</v>
      </c>
    </row>
    <row r="1201" spans="1:3" x14ac:dyDescent="0.15">
      <c r="A1201" s="1">
        <v>40837</v>
      </c>
      <c r="B1201" t="s">
        <v>250</v>
      </c>
      <c r="C1201" s="2" t="str">
        <f>HYPERLINK("http://snap.windin.com/ns/bulletin.php?id=904119&amp;type=1", "阳光电源:首次公开发行股票并在创业板上市招股说明书")</f>
        <v>阳光电源:首次公开发行股票并在创业板上市招股说明书</v>
      </c>
    </row>
    <row r="1202" spans="1:3" x14ac:dyDescent="0.15">
      <c r="A1202" s="1">
        <v>40837</v>
      </c>
      <c r="B1202" t="s">
        <v>241</v>
      </c>
      <c r="C1202" s="2" t="str">
        <f>HYPERLINK("http://snap.windin.com/ns/bulletin.php?id=829064&amp;type=1", "八菱科技:首次公开发行股票招股意向书")</f>
        <v>八菱科技:首次公开发行股票招股意向书</v>
      </c>
    </row>
    <row r="1203" spans="1:3" x14ac:dyDescent="0.15">
      <c r="A1203" s="1">
        <v>40837</v>
      </c>
      <c r="B1203" t="s">
        <v>241</v>
      </c>
      <c r="C1203" s="2" t="str">
        <f>HYPERLINK("http://snap.windin.com/ns/bulletin.php?id=216518&amp;type=1", "八菱科技:首次公开发行股票招股意向书摘要")</f>
        <v>八菱科技:首次公开发行股票招股意向书摘要</v>
      </c>
    </row>
    <row r="1204" spans="1:3" x14ac:dyDescent="0.15">
      <c r="A1204" s="1">
        <v>40836</v>
      </c>
      <c r="B1204" t="s">
        <v>246</v>
      </c>
      <c r="C1204" s="2" t="str">
        <f>HYPERLINK("http://snap.windin.com/ns/bulletin.php?id=1784557&amp;type=1", "宜昌交运:首次公开发行股票招股说明书")</f>
        <v>宜昌交运:首次公开发行股票招股说明书</v>
      </c>
    </row>
    <row r="1205" spans="1:3" x14ac:dyDescent="0.15">
      <c r="A1205" s="1">
        <v>40836</v>
      </c>
      <c r="B1205" t="s">
        <v>246</v>
      </c>
      <c r="C1205" s="2" t="str">
        <f>HYPERLINK("http://snap.windin.com/ns/bulletin.php?id=1633155&amp;type=1", "宜昌交运:首次公开发行股票招股说明书摘要")</f>
        <v>宜昌交运:首次公开发行股票招股说明书摘要</v>
      </c>
    </row>
    <row r="1206" spans="1:3" x14ac:dyDescent="0.15">
      <c r="A1206" s="1">
        <v>40836</v>
      </c>
      <c r="B1206" t="s">
        <v>249</v>
      </c>
      <c r="C1206" s="2" t="str">
        <f>HYPERLINK("http://snap.windin.com/ns/bulletin.php?id=1317906&amp;type=1", "开能环保:首次公开发行股票并在创业板上市招股说明书")</f>
        <v>开能环保:首次公开发行股票并在创业板上市招股说明书</v>
      </c>
    </row>
    <row r="1207" spans="1:3" x14ac:dyDescent="0.15">
      <c r="A1207" s="1">
        <v>40835</v>
      </c>
      <c r="B1207" t="s">
        <v>243</v>
      </c>
      <c r="C1207" s="2" t="str">
        <f>HYPERLINK("http://snap.windin.com/ns/bulletin.php?id=1931236&amp;type=1", "玉龙股份:首次公开发行股票招股意向书")</f>
        <v>玉龙股份:首次公开发行股票招股意向书</v>
      </c>
    </row>
    <row r="1208" spans="1:3" x14ac:dyDescent="0.15">
      <c r="A1208" s="1">
        <v>40835</v>
      </c>
      <c r="B1208" t="s">
        <v>243</v>
      </c>
      <c r="C1208" s="2" t="str">
        <f>HYPERLINK("http://snap.windin.com/ns/bulletin.php?id=1850020&amp;type=1", "玉龙股份:首次公开发行股票招股意向书附录一")</f>
        <v>玉龙股份:首次公开发行股票招股意向书附录一</v>
      </c>
    </row>
    <row r="1209" spans="1:3" x14ac:dyDescent="0.15">
      <c r="A1209" s="1">
        <v>40835</v>
      </c>
      <c r="B1209" t="s">
        <v>243</v>
      </c>
      <c r="C1209" s="2" t="str">
        <f>HYPERLINK("http://snap.windin.com/ns/bulletin.php?id=666057&amp;type=1", "玉龙股份:首次公开发行股票招股意向书附录二")</f>
        <v>玉龙股份:首次公开发行股票招股意向书附录二</v>
      </c>
    </row>
    <row r="1210" spans="1:3" x14ac:dyDescent="0.15">
      <c r="A1210" s="1">
        <v>40835</v>
      </c>
      <c r="B1210" t="s">
        <v>243</v>
      </c>
      <c r="C1210" s="2" t="str">
        <f>HYPERLINK("http://snap.windin.com/ns/bulletin.php?id=571084&amp;type=1", "玉龙股份:首次公开发行股票招股意向书附录四")</f>
        <v>玉龙股份:首次公开发行股票招股意向书附录四</v>
      </c>
    </row>
    <row r="1211" spans="1:3" x14ac:dyDescent="0.15">
      <c r="A1211" s="1">
        <v>40835</v>
      </c>
      <c r="B1211" t="s">
        <v>243</v>
      </c>
      <c r="C1211" s="2" t="str">
        <f>HYPERLINK("http://snap.windin.com/ns/bulletin.php?id=417137&amp;type=1", "玉龙股份:首次公开发行股票招股意向书附录三")</f>
        <v>玉龙股份:首次公开发行股票招股意向书附录三</v>
      </c>
    </row>
    <row r="1212" spans="1:3" x14ac:dyDescent="0.15">
      <c r="A1212" s="1">
        <v>40835</v>
      </c>
      <c r="B1212" t="s">
        <v>256</v>
      </c>
      <c r="C1212" s="2" t="str">
        <f>HYPERLINK("http://snap.windin.com/ns/bulletin.php?id=407131&amp;type=1", "浙江永强:首次公开发行股票上市公告书（更新后）")</f>
        <v>浙江永强:首次公开发行股票上市公告书（更新后）</v>
      </c>
    </row>
    <row r="1213" spans="1:3" x14ac:dyDescent="0.15">
      <c r="A1213" s="1">
        <v>40835</v>
      </c>
      <c r="B1213" t="s">
        <v>243</v>
      </c>
      <c r="C1213" s="2" t="str">
        <f>HYPERLINK("http://snap.windin.com/ns/bulletin.php?id=87754&amp;type=1", "玉龙股份:首次公开发行股票招股意向书摘要")</f>
        <v>玉龙股份:首次公开发行股票招股意向书摘要</v>
      </c>
    </row>
    <row r="1214" spans="1:3" x14ac:dyDescent="0.15">
      <c r="A1214" s="1">
        <v>40834</v>
      </c>
      <c r="B1214" t="s">
        <v>245</v>
      </c>
      <c r="C1214" s="2" t="str">
        <f>HYPERLINK("http://snap.windin.com/ns/bulletin.php?id=18535574&amp;type=1", "龙生股份:首次公开发行股票招股意向书")</f>
        <v>龙生股份:首次公开发行股票招股意向书</v>
      </c>
    </row>
    <row r="1215" spans="1:3" x14ac:dyDescent="0.15">
      <c r="A1215" s="1">
        <v>40834</v>
      </c>
      <c r="B1215" t="s">
        <v>245</v>
      </c>
      <c r="C1215" s="2" t="str">
        <f>HYPERLINK("http://snap.windin.com/ns/bulletin.php?id=18518646&amp;type=1", "龙生股份:首次公开发行股票招股意向书")</f>
        <v>龙生股份:首次公开发行股票招股意向书</v>
      </c>
    </row>
    <row r="1216" spans="1:3" x14ac:dyDescent="0.15">
      <c r="A1216" s="1">
        <v>40834</v>
      </c>
      <c r="B1216" t="s">
        <v>245</v>
      </c>
      <c r="C1216" s="2" t="str">
        <f>HYPERLINK("http://snap.windin.com/ns/bulletin.php?id=2034365&amp;type=1", "龙生股份:首次公开发行股票招股意向书")</f>
        <v>龙生股份:首次公开发行股票招股意向书</v>
      </c>
    </row>
    <row r="1217" spans="1:3" x14ac:dyDescent="0.15">
      <c r="A1217" s="1">
        <v>40834</v>
      </c>
      <c r="B1217" t="s">
        <v>253</v>
      </c>
      <c r="C1217" s="2" t="str">
        <f>HYPERLINK("http://snap.windin.com/ns/bulletin.php?id=1755283&amp;type=1", "金达威:首次公开发行股票招股说明书摘要")</f>
        <v>金达威:首次公开发行股票招股说明书摘要</v>
      </c>
    </row>
    <row r="1218" spans="1:3" x14ac:dyDescent="0.15">
      <c r="A1218" s="1">
        <v>40834</v>
      </c>
      <c r="B1218" t="s">
        <v>253</v>
      </c>
      <c r="C1218" s="2" t="str">
        <f>HYPERLINK("http://snap.windin.com/ns/bulletin.php?id=1666187&amp;type=1", "金达威:首次公开发行股票招股说明书")</f>
        <v>金达威:首次公开发行股票招股说明书</v>
      </c>
    </row>
    <row r="1219" spans="1:3" x14ac:dyDescent="0.15">
      <c r="A1219" s="1">
        <v>40834</v>
      </c>
      <c r="B1219" t="s">
        <v>245</v>
      </c>
      <c r="C1219" s="2" t="str">
        <f>HYPERLINK("http://snap.windin.com/ns/bulletin.php?id=869197&amp;type=1", "龙生股份:首次公开发行股票招股意向书摘要")</f>
        <v>龙生股份:首次公开发行股票招股意向书摘要</v>
      </c>
    </row>
    <row r="1220" spans="1:3" x14ac:dyDescent="0.15">
      <c r="A1220" s="1">
        <v>40833</v>
      </c>
      <c r="B1220" t="s">
        <v>255</v>
      </c>
      <c r="C1220" s="2" t="str">
        <f>HYPERLINK("http://snap.windin.com/ns/bulletin.php?id=906995&amp;type=1", "和佳股份:首次公开发行股票并在创业板上市招股说明书")</f>
        <v>和佳股份:首次公开发行股票并在创业板上市招股说明书</v>
      </c>
    </row>
    <row r="1221" spans="1:3" x14ac:dyDescent="0.15">
      <c r="A1221" s="1">
        <v>40833</v>
      </c>
      <c r="B1221" t="s">
        <v>247</v>
      </c>
      <c r="C1221" s="2" t="str">
        <f>HYPERLINK("http://snap.windin.com/ns/bulletin.php?id=769519&amp;type=1", "仁智油服:首次公开发行股票招股意向书")</f>
        <v>仁智油服:首次公开发行股票招股意向书</v>
      </c>
    </row>
    <row r="1222" spans="1:3" x14ac:dyDescent="0.15">
      <c r="A1222" s="1">
        <v>40833</v>
      </c>
      <c r="B1222" t="s">
        <v>257</v>
      </c>
      <c r="C1222" s="2" t="str">
        <f>HYPERLINK("http://snap.windin.com/ns/bulletin.php?id=501775&amp;type=1", "中国水电:首次公开发行A股股票招股说明书")</f>
        <v>中国水电:首次公开发行A股股票招股说明书</v>
      </c>
    </row>
    <row r="1223" spans="1:3" x14ac:dyDescent="0.15">
      <c r="A1223" s="1">
        <v>40833</v>
      </c>
      <c r="B1223" t="s">
        <v>257</v>
      </c>
      <c r="C1223" s="2" t="str">
        <f>HYPERLINK("http://snap.windin.com/ns/bulletin.php?id=491244&amp;type=1", "中国水电:首次公开发行A股股票上市公告书")</f>
        <v>中国水电:首次公开发行A股股票上市公告书</v>
      </c>
    </row>
    <row r="1224" spans="1:3" x14ac:dyDescent="0.15">
      <c r="A1224" s="1">
        <v>40833</v>
      </c>
      <c r="B1224" t="s">
        <v>258</v>
      </c>
      <c r="C1224" s="2" t="str">
        <f>HYPERLINK("http://snap.windin.com/ns/bulletin.php?id=219400&amp;type=1", "永大集团:首次公开发行股票上市公告书")</f>
        <v>永大集团:首次公开发行股票上市公告书</v>
      </c>
    </row>
    <row r="1225" spans="1:3" x14ac:dyDescent="0.15">
      <c r="A1225" s="1">
        <v>40833</v>
      </c>
      <c r="B1225" t="s">
        <v>247</v>
      </c>
      <c r="C1225" s="2" t="str">
        <f>HYPERLINK("http://snap.windin.com/ns/bulletin.php?id=108972&amp;type=1", "仁智油服:首次公开发行股票招股意向书摘要")</f>
        <v>仁智油服:首次公开发行股票招股意向书摘要</v>
      </c>
    </row>
    <row r="1226" spans="1:3" x14ac:dyDescent="0.15">
      <c r="A1226" s="1">
        <v>40830</v>
      </c>
      <c r="B1226" t="s">
        <v>244</v>
      </c>
      <c r="C1226" s="2" t="str">
        <f>HYPERLINK("http://snap.windin.com/ns/bulletin.php?id=2017634&amp;type=1", "成都路桥:首次公开发行股票招股意向书摘要")</f>
        <v>成都路桥:首次公开发行股票招股意向书摘要</v>
      </c>
    </row>
    <row r="1227" spans="1:3" x14ac:dyDescent="0.15">
      <c r="A1227" s="1">
        <v>40830</v>
      </c>
      <c r="B1227" t="s">
        <v>248</v>
      </c>
      <c r="C1227" s="2" t="str">
        <f>HYPERLINK("http://snap.windin.com/ns/bulletin.php?id=1821239&amp;type=1", "梅安森:首次公开发行股票并在创业板上市招股意向书")</f>
        <v>梅安森:首次公开发行股票并在创业板上市招股意向书</v>
      </c>
    </row>
    <row r="1228" spans="1:3" x14ac:dyDescent="0.15">
      <c r="A1228" s="1">
        <v>40830</v>
      </c>
      <c r="B1228" t="s">
        <v>244</v>
      </c>
      <c r="C1228" s="2" t="str">
        <f>HYPERLINK("http://snap.windin.com/ns/bulletin.php?id=1697705&amp;type=1", "成都路桥:首次公开发行股票招股意向书")</f>
        <v>成都路桥:首次公开发行股票招股意向书</v>
      </c>
    </row>
    <row r="1229" spans="1:3" x14ac:dyDescent="0.15">
      <c r="A1229" s="1">
        <v>40830</v>
      </c>
      <c r="B1229" t="s">
        <v>252</v>
      </c>
      <c r="C1229" s="2" t="str">
        <f>HYPERLINK("http://snap.windin.com/ns/bulletin.php?id=459789&amp;type=1", "金磊股份:首次公开发行股票并上市招股说明书摘要")</f>
        <v>金磊股份:首次公开发行股票并上市招股说明书摘要</v>
      </c>
    </row>
    <row r="1230" spans="1:3" x14ac:dyDescent="0.15">
      <c r="A1230" s="1">
        <v>40830</v>
      </c>
      <c r="B1230" t="s">
        <v>252</v>
      </c>
      <c r="C1230" s="2" t="str">
        <f>HYPERLINK("http://snap.windin.com/ns/bulletin.php?id=86890&amp;type=1", "金磊股份:首次公开发行股票并上市招股说明书")</f>
        <v>金磊股份:首次公开发行股票并上市招股说明书</v>
      </c>
    </row>
    <row r="1231" spans="1:3" x14ac:dyDescent="0.15">
      <c r="A1231" s="1">
        <v>40829</v>
      </c>
      <c r="B1231" t="s">
        <v>249</v>
      </c>
      <c r="C1231" s="2" t="str">
        <f>HYPERLINK("http://snap.windin.com/ns/bulletin.php?id=1610736&amp;type=1", "开能环保:首次公开发行股票并在创业板上市招股意向书")</f>
        <v>开能环保:首次公开发行股票并在创业板上市招股意向书</v>
      </c>
    </row>
    <row r="1232" spans="1:3" x14ac:dyDescent="0.15">
      <c r="A1232" s="1">
        <v>40828</v>
      </c>
      <c r="B1232" t="s">
        <v>246</v>
      </c>
      <c r="C1232" s="2" t="str">
        <f>HYPERLINK("http://snap.windin.com/ns/bulletin.php?id=18483558&amp;type=1", "宜昌交运:首次公开发行股票招股意向书")</f>
        <v>宜昌交运:首次公开发行股票招股意向书</v>
      </c>
    </row>
    <row r="1233" spans="1:3" x14ac:dyDescent="0.15">
      <c r="A1233" s="1">
        <v>40828</v>
      </c>
      <c r="B1233" t="s">
        <v>246</v>
      </c>
      <c r="C1233" s="2" t="str">
        <f>HYPERLINK("http://snap.windin.com/ns/bulletin.php?id=1791991&amp;type=1", "宜昌交运:首次公开发行股票招股意向书摘要")</f>
        <v>宜昌交运:首次公开发行股票招股意向书摘要</v>
      </c>
    </row>
    <row r="1234" spans="1:3" x14ac:dyDescent="0.15">
      <c r="A1234" s="1">
        <v>40828</v>
      </c>
      <c r="B1234" t="s">
        <v>259</v>
      </c>
      <c r="C1234" s="2" t="str">
        <f>HYPERLINK("http://snap.windin.com/ns/bulletin.php?id=1532549&amp;type=1", "中威电子:首次公开发行股票并在创业板上市上市公告书（更新后）")</f>
        <v>中威电子:首次公开发行股票并在创业板上市上市公告书（更新后）</v>
      </c>
    </row>
    <row r="1235" spans="1:3" x14ac:dyDescent="0.15">
      <c r="A1235" s="1">
        <v>40828</v>
      </c>
      <c r="B1235" t="s">
        <v>246</v>
      </c>
      <c r="C1235" s="2" t="str">
        <f>HYPERLINK("http://snap.windin.com/ns/bulletin.php?id=1130084&amp;type=1", "宜昌交运:首次公开发行股票招股意向书")</f>
        <v>宜昌交运:首次公开发行股票招股意向书</v>
      </c>
    </row>
    <row r="1236" spans="1:3" x14ac:dyDescent="0.15">
      <c r="A1236" s="1">
        <v>40828</v>
      </c>
      <c r="B1236" t="s">
        <v>250</v>
      </c>
      <c r="C1236" s="2" t="str">
        <f>HYPERLINK("http://snap.windin.com/ns/bulletin.php?id=942499&amp;type=1", "阳光电源:首次公开发行股票并在创业板上市招股意向书")</f>
        <v>阳光电源:首次公开发行股票并在创业板上市招股意向书</v>
      </c>
    </row>
    <row r="1237" spans="1:3" x14ac:dyDescent="0.15">
      <c r="A1237" s="1">
        <v>40828</v>
      </c>
      <c r="B1237" t="s">
        <v>260</v>
      </c>
      <c r="C1237" s="2" t="str">
        <f>HYPERLINK("http://snap.windin.com/ns/bulletin.php?id=891127&amp;type=1", "亚玛顿:首次公开发行股票上市公告书")</f>
        <v>亚玛顿:首次公开发行股票上市公告书</v>
      </c>
    </row>
    <row r="1238" spans="1:3" x14ac:dyDescent="0.15">
      <c r="A1238" s="1">
        <v>40828</v>
      </c>
      <c r="B1238" t="s">
        <v>259</v>
      </c>
      <c r="C1238" s="2" t="str">
        <f>HYPERLINK("http://snap.windin.com/ns/bulletin.php?id=158660&amp;type=1", "中威电子:关于《杭州中威电子股份有限公司首次公开发行股票并在创业板上市上市公告书》的更正公告")</f>
        <v>中威电子:关于《杭州中威电子股份有限公司首次公开发行股票并在创业板上市上市公告书》的更正公告</v>
      </c>
    </row>
    <row r="1239" spans="1:3" x14ac:dyDescent="0.15">
      <c r="A1239" s="1">
        <v>40827</v>
      </c>
      <c r="B1239" t="s">
        <v>253</v>
      </c>
      <c r="C1239" s="2" t="str">
        <f>HYPERLINK("http://snap.windin.com/ns/bulletin.php?id=18401540&amp;type=1", "金达威:首次公开发行股票招股意向书")</f>
        <v>金达威:首次公开发行股票招股意向书</v>
      </c>
    </row>
    <row r="1240" spans="1:3" x14ac:dyDescent="0.15">
      <c r="A1240" s="1">
        <v>40827</v>
      </c>
      <c r="B1240" t="s">
        <v>253</v>
      </c>
      <c r="C1240" s="2" t="str">
        <f>HYPERLINK("http://snap.windin.com/ns/bulletin.php?id=2091414&amp;type=1", "金达威:首次公开发行股票招股意向书摘要")</f>
        <v>金达威:首次公开发行股票招股意向书摘要</v>
      </c>
    </row>
    <row r="1241" spans="1:3" x14ac:dyDescent="0.15">
      <c r="A1241" s="1">
        <v>40827</v>
      </c>
      <c r="B1241" t="s">
        <v>251</v>
      </c>
      <c r="C1241" s="2" t="str">
        <f>HYPERLINK("http://snap.windin.com/ns/bulletin.php?id=1974585&amp;type=1", "恒立油缸:首次公开发行股票招股意向书附录三")</f>
        <v>恒立油缸:首次公开发行股票招股意向书附录三</v>
      </c>
    </row>
    <row r="1242" spans="1:3" x14ac:dyDescent="0.15">
      <c r="A1242" s="1">
        <v>40827</v>
      </c>
      <c r="B1242" t="s">
        <v>259</v>
      </c>
      <c r="C1242" s="2" t="str">
        <f>HYPERLINK("http://snap.windin.com/ns/bulletin.php?id=1900986&amp;type=1", "中威电子:首次公开发行股票并在创业板上市上市公告书")</f>
        <v>中威电子:首次公开发行股票并在创业板上市上市公告书</v>
      </c>
    </row>
    <row r="1243" spans="1:3" x14ac:dyDescent="0.15">
      <c r="A1243" s="1">
        <v>40827</v>
      </c>
      <c r="B1243" t="s">
        <v>251</v>
      </c>
      <c r="C1243" s="2" t="str">
        <f>HYPERLINK("http://snap.windin.com/ns/bulletin.php?id=1578670&amp;type=1", "恒立油缸:首次公开发行股票招股意向书附录四")</f>
        <v>恒立油缸:首次公开发行股票招股意向书附录四</v>
      </c>
    </row>
    <row r="1244" spans="1:3" x14ac:dyDescent="0.15">
      <c r="A1244" s="1">
        <v>40827</v>
      </c>
      <c r="B1244" t="s">
        <v>253</v>
      </c>
      <c r="C1244" s="2" t="str">
        <f>HYPERLINK("http://snap.windin.com/ns/bulletin.php?id=1484190&amp;type=1", "金达威:首次公开发行股票招股意向书")</f>
        <v>金达威:首次公开发行股票招股意向书</v>
      </c>
    </row>
    <row r="1245" spans="1:3" x14ac:dyDescent="0.15">
      <c r="A1245" s="1">
        <v>40827</v>
      </c>
      <c r="B1245" t="s">
        <v>259</v>
      </c>
      <c r="C1245" s="2" t="str">
        <f>HYPERLINK("http://snap.windin.com/ns/bulletin.php?id=1407506&amp;type=1", "中威电子:首次公开发行股票并在创业板上市上市公告书提示性公告")</f>
        <v>中威电子:首次公开发行股票并在创业板上市上市公告书提示性公告</v>
      </c>
    </row>
    <row r="1246" spans="1:3" x14ac:dyDescent="0.15">
      <c r="A1246" s="1">
        <v>40827</v>
      </c>
      <c r="B1246" t="s">
        <v>261</v>
      </c>
      <c r="C1246" s="2" t="str">
        <f>HYPERLINK("http://snap.windin.com/ns/bulletin.php?id=1404494&amp;type=1", "联建光电:首次公开发行股票并在创业板上市上市公告书提示性公告")</f>
        <v>联建光电:首次公开发行股票并在创业板上市上市公告书提示性公告</v>
      </c>
    </row>
    <row r="1247" spans="1:3" x14ac:dyDescent="0.15">
      <c r="A1247" s="1">
        <v>40827</v>
      </c>
      <c r="B1247" t="s">
        <v>251</v>
      </c>
      <c r="C1247" s="2" t="str">
        <f>HYPERLINK("http://snap.windin.com/ns/bulletin.php?id=1297268&amp;type=1", "恒立油缸:首次公开发行股票招股意向书摘要")</f>
        <v>恒立油缸:首次公开发行股票招股意向书摘要</v>
      </c>
    </row>
    <row r="1248" spans="1:3" x14ac:dyDescent="0.15">
      <c r="A1248" s="1">
        <v>40827</v>
      </c>
      <c r="B1248" t="s">
        <v>251</v>
      </c>
      <c r="C1248" s="2" t="str">
        <f>HYPERLINK("http://snap.windin.com/ns/bulletin.php?id=1193012&amp;type=1", "恒立油缸:首次公开发行股票招股意向书附录一")</f>
        <v>恒立油缸:首次公开发行股票招股意向书附录一</v>
      </c>
    </row>
    <row r="1249" spans="1:3" x14ac:dyDescent="0.15">
      <c r="A1249" s="1">
        <v>40827</v>
      </c>
      <c r="B1249" t="s">
        <v>261</v>
      </c>
      <c r="C1249" s="2" t="str">
        <f>HYPERLINK("http://snap.windin.com/ns/bulletin.php?id=812963&amp;type=1", "联建光电:首次公开发行股票并在创业板上市之上市公告书")</f>
        <v>联建光电:首次公开发行股票并在创业板上市之上市公告书</v>
      </c>
    </row>
    <row r="1250" spans="1:3" x14ac:dyDescent="0.15">
      <c r="A1250" s="1">
        <v>40827</v>
      </c>
      <c r="B1250" t="s">
        <v>251</v>
      </c>
      <c r="C1250" s="2" t="str">
        <f>HYPERLINK("http://snap.windin.com/ns/bulletin.php?id=512036&amp;type=1", "恒立油缸:首次公开发行股票招股意向书")</f>
        <v>恒立油缸:首次公开发行股票招股意向书</v>
      </c>
    </row>
    <row r="1251" spans="1:3" x14ac:dyDescent="0.15">
      <c r="A1251" s="1">
        <v>40827</v>
      </c>
      <c r="B1251" t="s">
        <v>251</v>
      </c>
      <c r="C1251" s="2" t="str">
        <f>HYPERLINK("http://snap.windin.com/ns/bulletin.php?id=115615&amp;type=1", "恒立油缸:首次公开发行股票招股意向书附录二")</f>
        <v>恒立油缸:首次公开发行股票招股意向书附录二</v>
      </c>
    </row>
    <row r="1252" spans="1:3" x14ac:dyDescent="0.15">
      <c r="A1252" s="1">
        <v>40826</v>
      </c>
      <c r="B1252" t="s">
        <v>255</v>
      </c>
      <c r="C1252" s="2" t="str">
        <f>HYPERLINK("http://snap.windin.com/ns/bulletin.php?id=979251&amp;type=1", "和佳股份:首次公开发行股票并在创业板上市招股意向书")</f>
        <v>和佳股份:首次公开发行股票并在创业板上市招股意向书</v>
      </c>
    </row>
    <row r="1253" spans="1:3" x14ac:dyDescent="0.15">
      <c r="A1253" s="1">
        <v>40816</v>
      </c>
      <c r="B1253" t="s">
        <v>254</v>
      </c>
      <c r="C1253" s="2" t="str">
        <f>HYPERLINK("http://snap.windin.com/ns/bulletin.php?id=2033528&amp;type=1", "紫光华宇:关于《北京紫光华宇软件股份有限公司首次公开发行股票并在创业板上市招股说明书》的更正公告")</f>
        <v>紫光华宇:关于《北京紫光华宇软件股份有限公司首次公开发行股票并在创业板上市招股说明书》的更正公告</v>
      </c>
    </row>
    <row r="1254" spans="1:3" x14ac:dyDescent="0.15">
      <c r="A1254" s="1">
        <v>40816</v>
      </c>
      <c r="B1254" t="s">
        <v>254</v>
      </c>
      <c r="C1254" s="2" t="str">
        <f>HYPERLINK("http://snap.windin.com/ns/bulletin.php?id=1701486&amp;type=1", "紫光华宇:首次公开发行股票并在创业板上市招股说明书")</f>
        <v>紫光华宇:首次公开发行股票并在创业板上市招股说明书</v>
      </c>
    </row>
    <row r="1255" spans="1:3" x14ac:dyDescent="0.15">
      <c r="A1255" s="1">
        <v>40816</v>
      </c>
      <c r="B1255" t="s">
        <v>254</v>
      </c>
      <c r="C1255" s="2" t="str">
        <f>HYPERLINK("http://snap.windin.com/ns/bulletin.php?id=1609465&amp;type=1", "紫光华宇:首次公开发行股票并在创业板上市招股说明书（更新后）")</f>
        <v>紫光华宇:首次公开发行股票并在创业板上市招股说明书（更新后）</v>
      </c>
    </row>
    <row r="1256" spans="1:3" x14ac:dyDescent="0.15">
      <c r="A1256" s="1">
        <v>40816</v>
      </c>
      <c r="B1256" t="s">
        <v>258</v>
      </c>
      <c r="C1256" s="2" t="str">
        <f>HYPERLINK("http://snap.windin.com/ns/bulletin.php?id=1022362&amp;type=1", "永大集团:首次公开发行股票招股说明书")</f>
        <v>永大集团:首次公开发行股票招股说明书</v>
      </c>
    </row>
    <row r="1257" spans="1:3" x14ac:dyDescent="0.15">
      <c r="A1257" s="1">
        <v>40816</v>
      </c>
      <c r="B1257" t="s">
        <v>258</v>
      </c>
      <c r="C1257" s="2" t="str">
        <f>HYPERLINK("http://snap.windin.com/ns/bulletin.php?id=674117&amp;type=1", "永大集团:首次公开发行股票招股说明书摘要")</f>
        <v>永大集团:首次公开发行股票招股说明书摘要</v>
      </c>
    </row>
    <row r="1258" spans="1:3" x14ac:dyDescent="0.15">
      <c r="A1258" s="1">
        <v>40814</v>
      </c>
      <c r="B1258" t="s">
        <v>252</v>
      </c>
      <c r="C1258" s="2" t="str">
        <f>HYPERLINK("http://snap.windin.com/ns/bulletin.php?id=19054738&amp;type=1", "金磊股份:首次公开发行股票招股意向书")</f>
        <v>金磊股份:首次公开发行股票招股意向书</v>
      </c>
    </row>
    <row r="1259" spans="1:3" x14ac:dyDescent="0.15">
      <c r="A1259" s="1">
        <v>40814</v>
      </c>
      <c r="B1259" t="s">
        <v>252</v>
      </c>
      <c r="C1259" s="2" t="str">
        <f>HYPERLINK("http://snap.windin.com/ns/bulletin.php?id=18523528&amp;type=1", "金磊股份:首次公开发行股票招股意向书")</f>
        <v>金磊股份:首次公开发行股票招股意向书</v>
      </c>
    </row>
    <row r="1260" spans="1:3" x14ac:dyDescent="0.15">
      <c r="A1260" s="1">
        <v>40814</v>
      </c>
      <c r="B1260" t="s">
        <v>262</v>
      </c>
      <c r="C1260" s="2" t="str">
        <f>HYPERLINK("http://snap.windin.com/ns/bulletin.php?id=2026804&amp;type=1", "大连三垒:首次公开发行股票上市公告书")</f>
        <v>大连三垒:首次公开发行股票上市公告书</v>
      </c>
    </row>
    <row r="1261" spans="1:3" x14ac:dyDescent="0.15">
      <c r="A1261" s="1">
        <v>40814</v>
      </c>
      <c r="B1261" t="s">
        <v>252</v>
      </c>
      <c r="C1261" s="2" t="str">
        <f>HYPERLINK("http://snap.windin.com/ns/bulletin.php?id=1819498&amp;type=1", "金磊股份:首次公开发行股票并上市招股意向书摘要")</f>
        <v>金磊股份:首次公开发行股票并上市招股意向书摘要</v>
      </c>
    </row>
    <row r="1262" spans="1:3" x14ac:dyDescent="0.15">
      <c r="A1262" s="1">
        <v>40814</v>
      </c>
      <c r="B1262" t="s">
        <v>263</v>
      </c>
      <c r="C1262" s="2" t="str">
        <f>HYPERLINK("http://snap.windin.com/ns/bulletin.php?id=1688059&amp;type=1", "丰林集团:首次公开发行A股股票上市公告书")</f>
        <v>丰林集团:首次公开发行A股股票上市公告书</v>
      </c>
    </row>
    <row r="1263" spans="1:3" x14ac:dyDescent="0.15">
      <c r="A1263" s="1">
        <v>40814</v>
      </c>
      <c r="B1263" t="s">
        <v>264</v>
      </c>
      <c r="C1263" s="2" t="str">
        <f>HYPERLINK("http://snap.windin.com/ns/bulletin.php?id=1509406&amp;type=1", "巨龙管业:首次公开发行股票上市公告书")</f>
        <v>巨龙管业:首次公开发行股票上市公告书</v>
      </c>
    </row>
    <row r="1264" spans="1:3" x14ac:dyDescent="0.15">
      <c r="A1264" s="1">
        <v>40814</v>
      </c>
      <c r="B1264" t="s">
        <v>252</v>
      </c>
      <c r="C1264" s="2" t="str">
        <f>HYPERLINK("http://snap.windin.com/ns/bulletin.php?id=1340245&amp;type=1", "金磊股份:首次公开发行股票并上市招股意向书")</f>
        <v>金磊股份:首次公开发行股票并上市招股意向书</v>
      </c>
    </row>
    <row r="1265" spans="1:3" x14ac:dyDescent="0.15">
      <c r="A1265" s="1">
        <v>40814</v>
      </c>
      <c r="B1265" t="s">
        <v>263</v>
      </c>
      <c r="C1265" s="2" t="str">
        <f>HYPERLINK("http://snap.windin.com/ns/bulletin.php?id=811762&amp;type=1", "丰林集团:首次公开发行股票招股说明书")</f>
        <v>丰林集团:首次公开发行股票招股说明书</v>
      </c>
    </row>
    <row r="1266" spans="1:3" x14ac:dyDescent="0.15">
      <c r="A1266" s="1">
        <v>40814</v>
      </c>
      <c r="B1266" t="s">
        <v>265</v>
      </c>
      <c r="C1266" s="2" t="str">
        <f>HYPERLINK("http://snap.windin.com/ns/bulletin.php?id=164726&amp;type=1", "瑞和股份:首次公开发行股票上市公告书")</f>
        <v>瑞和股份:首次公开发行股票上市公告书</v>
      </c>
    </row>
    <row r="1267" spans="1:3" x14ac:dyDescent="0.15">
      <c r="A1267" s="1">
        <v>40813</v>
      </c>
      <c r="B1267" t="s">
        <v>266</v>
      </c>
      <c r="C1267" s="2" t="str">
        <f>HYPERLINK("http://snap.windin.com/ns/bulletin.php?id=556638&amp;type=1", "长城汽车:首次公开发行A股股票上市公告书")</f>
        <v>长城汽车:首次公开发行A股股票上市公告书</v>
      </c>
    </row>
    <row r="1268" spans="1:3" x14ac:dyDescent="0.15">
      <c r="A1268" s="1">
        <v>40813</v>
      </c>
      <c r="B1268" t="s">
        <v>266</v>
      </c>
      <c r="C1268" s="2" t="str">
        <f>HYPERLINK("http://snap.windin.com/ns/bulletin.php?id=128630&amp;type=1", "长城汽车:首次公开发行A股股票招股说明书")</f>
        <v>长城汽车:首次公开发行A股股票招股说明书</v>
      </c>
    </row>
    <row r="1269" spans="1:3" x14ac:dyDescent="0.15">
      <c r="A1269" s="1">
        <v>40812</v>
      </c>
      <c r="B1269" t="s">
        <v>267</v>
      </c>
      <c r="C1269" s="2" t="str">
        <f>HYPERLINK("http://snap.windin.com/ns/bulletin.php?id=2006928&amp;type=1", "兴源过滤:首次公开发行股票并在创业板上市上市公告书提示性公告")</f>
        <v>兴源过滤:首次公开发行股票并在创业板上市上市公告书提示性公告</v>
      </c>
    </row>
    <row r="1270" spans="1:3" x14ac:dyDescent="0.15">
      <c r="A1270" s="1">
        <v>40812</v>
      </c>
      <c r="B1270" t="s">
        <v>259</v>
      </c>
      <c r="C1270" s="2" t="str">
        <f>HYPERLINK("http://snap.windin.com/ns/bulletin.php?id=1744752&amp;type=1", "中威电子:首次公开发行股票并在创业板上市招股说明书")</f>
        <v>中威电子:首次公开发行股票并在创业板上市招股说明书</v>
      </c>
    </row>
    <row r="1271" spans="1:3" x14ac:dyDescent="0.15">
      <c r="A1271" s="1">
        <v>40812</v>
      </c>
      <c r="B1271" t="s">
        <v>267</v>
      </c>
      <c r="C1271" s="2" t="str">
        <f>HYPERLINK("http://snap.windin.com/ns/bulletin.php?id=1631954&amp;type=1", "兴源过滤:首次公开发行股票并在创业板上市公告书")</f>
        <v>兴源过滤:首次公开发行股票并在创业板上市公告书</v>
      </c>
    </row>
    <row r="1272" spans="1:3" x14ac:dyDescent="0.15">
      <c r="A1272" s="1">
        <v>40812</v>
      </c>
      <c r="B1272" t="s">
        <v>268</v>
      </c>
      <c r="C1272" s="2" t="str">
        <f>HYPERLINK("http://snap.windin.com/ns/bulletin.php?id=1315591&amp;type=1", "尔康制药:首次公开发行股票并在创业板上市之上市公告书")</f>
        <v>尔康制药:首次公开发行股票并在创业板上市之上市公告书</v>
      </c>
    </row>
    <row r="1273" spans="1:3" x14ac:dyDescent="0.15">
      <c r="A1273" s="1">
        <v>40812</v>
      </c>
      <c r="B1273" t="s">
        <v>269</v>
      </c>
      <c r="C1273" s="2" t="str">
        <f>HYPERLINK("http://snap.windin.com/ns/bulletin.php?id=1144734&amp;type=1", "万福生科:首次公开发行股票并在创业板上市公告书")</f>
        <v>万福生科:首次公开发行股票并在创业板上市公告书</v>
      </c>
    </row>
    <row r="1274" spans="1:3" x14ac:dyDescent="0.15">
      <c r="A1274" s="1">
        <v>40812</v>
      </c>
      <c r="B1274" t="s">
        <v>268</v>
      </c>
      <c r="C1274" s="2" t="str">
        <f>HYPERLINK("http://snap.windin.com/ns/bulletin.php?id=515909&amp;type=1", "尔康制药:首次公开发行股票并在创业板上市上市公告书提示性公告")</f>
        <v>尔康制药:首次公开发行股票并在创业板上市上市公告书提示性公告</v>
      </c>
    </row>
    <row r="1275" spans="1:3" x14ac:dyDescent="0.15">
      <c r="A1275" s="1">
        <v>40812</v>
      </c>
      <c r="B1275" t="s">
        <v>269</v>
      </c>
      <c r="C1275" s="2" t="str">
        <f>HYPERLINK("http://snap.windin.com/ns/bulletin.php?id=480865&amp;type=1", "万福生科:首次公开发行股票并在创业板上市公告书提示性公告")</f>
        <v>万福生科:首次公开发行股票并在创业板上市公告书提示性公告</v>
      </c>
    </row>
    <row r="1276" spans="1:3" x14ac:dyDescent="0.15">
      <c r="A1276" s="1">
        <v>40812</v>
      </c>
      <c r="B1276" t="s">
        <v>261</v>
      </c>
      <c r="C1276" s="2" t="str">
        <f>HYPERLINK("http://snap.windin.com/ns/bulletin.php?id=170224&amp;type=1", "联建光电:首次公开发行股票并在创业板上市招股说明书")</f>
        <v>联建光电:首次公开发行股票并在创业板上市招股说明书</v>
      </c>
    </row>
    <row r="1277" spans="1:3" x14ac:dyDescent="0.15">
      <c r="A1277" s="1">
        <v>40809</v>
      </c>
      <c r="B1277" t="s">
        <v>260</v>
      </c>
      <c r="C1277" s="2" t="str">
        <f>HYPERLINK("http://snap.windin.com/ns/bulletin.php?id=1696996&amp;type=1", "亚玛顿:首次公开发行股票（A股）招股说明书")</f>
        <v>亚玛顿:首次公开发行股票（A股）招股说明书</v>
      </c>
    </row>
    <row r="1278" spans="1:3" x14ac:dyDescent="0.15">
      <c r="A1278" s="1">
        <v>40809</v>
      </c>
      <c r="B1278" t="s">
        <v>254</v>
      </c>
      <c r="C1278" s="2" t="str">
        <f>HYPERLINK("http://snap.windin.com/ns/bulletin.php?id=1609196&amp;type=1", "紫光华宇:首次公开发行股票并在创业板上市招股意向书")</f>
        <v>紫光华宇:首次公开发行股票并在创业板上市招股意向书</v>
      </c>
    </row>
    <row r="1279" spans="1:3" x14ac:dyDescent="0.15">
      <c r="A1279" s="1">
        <v>40809</v>
      </c>
      <c r="B1279" t="s">
        <v>260</v>
      </c>
      <c r="C1279" s="2" t="str">
        <f>HYPERLINK("http://snap.windin.com/ns/bulletin.php?id=1102303&amp;type=1", "亚玛顿:首次公开发行股票（A股）招股说明书摘要")</f>
        <v>亚玛顿:首次公开发行股票（A股）招股说明书摘要</v>
      </c>
    </row>
    <row r="1280" spans="1:3" x14ac:dyDescent="0.15">
      <c r="A1280" s="1">
        <v>40808</v>
      </c>
      <c r="B1280" t="s">
        <v>270</v>
      </c>
      <c r="C1280" s="2" t="str">
        <f>HYPERLINK("http://snap.windin.com/ns/bulletin.php?id=1358087&amp;type=1", "中信证券:H股--招股说明书（中文）")</f>
        <v>中信证券:H股--招股说明书（中文）</v>
      </c>
    </row>
    <row r="1281" spans="1:3" x14ac:dyDescent="0.15">
      <c r="A1281" s="1">
        <v>40808</v>
      </c>
      <c r="B1281" t="s">
        <v>271</v>
      </c>
      <c r="C1281" s="2" t="str">
        <f>HYPERLINK("http://snap.windin.com/ns/bulletin.php?id=1094287&amp;type=1", "东方精工:首次公开发行股票上市公告书（更新后）")</f>
        <v>东方精工:首次公开发行股票上市公告书（更新后）</v>
      </c>
    </row>
    <row r="1282" spans="1:3" x14ac:dyDescent="0.15">
      <c r="A1282" s="1">
        <v>40808</v>
      </c>
      <c r="B1282" t="s">
        <v>270</v>
      </c>
      <c r="C1282" s="2" t="str">
        <f>HYPERLINK("http://snap.windin.com/ns/bulletin.php?id=102761&amp;type=1", "中信证券:H股--招股说明书（英文）")</f>
        <v>中信证券:H股--招股说明书（英文）</v>
      </c>
    </row>
    <row r="1283" spans="1:3" x14ac:dyDescent="0.15">
      <c r="A1283" s="1">
        <v>40806</v>
      </c>
      <c r="B1283" t="s">
        <v>264</v>
      </c>
      <c r="C1283" s="2" t="str">
        <f>HYPERLINK("http://snap.windin.com/ns/bulletin.php?id=1539852&amp;type=1", "巨龙管业:首次公开发行股票招股说明书")</f>
        <v>巨龙管业:首次公开发行股票招股说明书</v>
      </c>
    </row>
    <row r="1284" spans="1:3" x14ac:dyDescent="0.15">
      <c r="A1284" s="1">
        <v>40806</v>
      </c>
      <c r="B1284" t="s">
        <v>264</v>
      </c>
      <c r="C1284" s="2" t="str">
        <f>HYPERLINK("http://snap.windin.com/ns/bulletin.php?id=1517738&amp;type=1", "巨龙管业:首次公开发行股票招股说明书摘要")</f>
        <v>巨龙管业:首次公开发行股票招股说明书摘要</v>
      </c>
    </row>
    <row r="1285" spans="1:3" x14ac:dyDescent="0.15">
      <c r="A1285" s="1">
        <v>40805</v>
      </c>
      <c r="B1285" t="s">
        <v>265</v>
      </c>
      <c r="C1285" s="2" t="str">
        <f>HYPERLINK("http://snap.windin.com/ns/bulletin.php?id=2112100&amp;type=1", "瑞和股份:首次公开发行股票招股说明书摘要")</f>
        <v>瑞和股份:首次公开发行股票招股说明书摘要</v>
      </c>
    </row>
    <row r="1286" spans="1:3" x14ac:dyDescent="0.15">
      <c r="A1286" s="1">
        <v>40805</v>
      </c>
      <c r="B1286" t="s">
        <v>257</v>
      </c>
      <c r="C1286" s="2" t="str">
        <f>HYPERLINK("http://snap.windin.com/ns/bulletin.php?id=2011154&amp;type=1", "中国水电:首次公开发行A股股票招股意向书附录")</f>
        <v>中国水电:首次公开发行A股股票招股意向书附录</v>
      </c>
    </row>
    <row r="1287" spans="1:3" x14ac:dyDescent="0.15">
      <c r="A1287" s="1">
        <v>40805</v>
      </c>
      <c r="B1287" t="s">
        <v>262</v>
      </c>
      <c r="C1287" s="2" t="str">
        <f>HYPERLINK("http://snap.windin.com/ns/bulletin.php?id=1562800&amp;type=1", "大连三垒:首次公开发行股票招股说明书")</f>
        <v>大连三垒:首次公开发行股票招股说明书</v>
      </c>
    </row>
    <row r="1288" spans="1:3" x14ac:dyDescent="0.15">
      <c r="A1288" s="1">
        <v>40805</v>
      </c>
      <c r="B1288" t="s">
        <v>272</v>
      </c>
      <c r="C1288" s="2" t="str">
        <f>HYPERLINK("http://snap.windin.com/ns/bulletin.php?id=1561496&amp;type=1", "长青集团:首次公开发行股票上市公告书")</f>
        <v>长青集团:首次公开发行股票上市公告书</v>
      </c>
    </row>
    <row r="1289" spans="1:3" x14ac:dyDescent="0.15">
      <c r="A1289" s="1">
        <v>40805</v>
      </c>
      <c r="B1289" t="s">
        <v>257</v>
      </c>
      <c r="C1289" s="2" t="str">
        <f>HYPERLINK("http://snap.windin.com/ns/bulletin.php?id=1354080&amp;type=1", "中国水电:首次公开发行A股股票招股意向书摘要")</f>
        <v>中国水电:首次公开发行A股股票招股意向书摘要</v>
      </c>
    </row>
    <row r="1290" spans="1:3" x14ac:dyDescent="0.15">
      <c r="A1290" s="1">
        <v>40805</v>
      </c>
      <c r="B1290" t="s">
        <v>259</v>
      </c>
      <c r="C1290" s="2" t="str">
        <f>HYPERLINK("http://snap.windin.com/ns/bulletin.php?id=857418&amp;type=1", "中威电子:首次公开发行股票并在创业板上市招股意向书")</f>
        <v>中威电子:首次公开发行股票并在创业板上市招股意向书</v>
      </c>
    </row>
    <row r="1291" spans="1:3" x14ac:dyDescent="0.15">
      <c r="A1291" s="1">
        <v>40805</v>
      </c>
      <c r="B1291" t="s">
        <v>265</v>
      </c>
      <c r="C1291" s="2" t="str">
        <f>HYPERLINK("http://snap.windin.com/ns/bulletin.php?id=739251&amp;type=1", "瑞和股份:首次公开发行股票招股说明书")</f>
        <v>瑞和股份:首次公开发行股票招股说明书</v>
      </c>
    </row>
    <row r="1292" spans="1:3" x14ac:dyDescent="0.15">
      <c r="A1292" s="1">
        <v>40805</v>
      </c>
      <c r="B1292" t="s">
        <v>261</v>
      </c>
      <c r="C1292" s="2" t="str">
        <f>HYPERLINK("http://snap.windin.com/ns/bulletin.php?id=695306&amp;type=1", "联建光电:首次公开发行股票并在创业板上市招股意向书")</f>
        <v>联建光电:首次公开发行股票并在创业板上市招股意向书</v>
      </c>
    </row>
    <row r="1293" spans="1:3" x14ac:dyDescent="0.15">
      <c r="A1293" s="1">
        <v>40805</v>
      </c>
      <c r="B1293" t="s">
        <v>262</v>
      </c>
      <c r="C1293" s="2" t="str">
        <f>HYPERLINK("http://snap.windin.com/ns/bulletin.php?id=638618&amp;type=1", "大连三垒:首次公开发行股票招股说明书摘要")</f>
        <v>大连三垒:首次公开发行股票招股说明书摘要</v>
      </c>
    </row>
    <row r="1294" spans="1:3" x14ac:dyDescent="0.15">
      <c r="A1294" s="1">
        <v>40805</v>
      </c>
      <c r="B1294" t="s">
        <v>257</v>
      </c>
      <c r="C1294" s="2" t="str">
        <f>HYPERLINK("http://snap.windin.com/ns/bulletin.php?id=509266&amp;type=1", "中国水电:首次公开发行A股股票招股意向书")</f>
        <v>中国水电:首次公开发行A股股票招股意向书</v>
      </c>
    </row>
    <row r="1295" spans="1:3" x14ac:dyDescent="0.15">
      <c r="A1295" s="1">
        <v>40805</v>
      </c>
      <c r="B1295" t="s">
        <v>54</v>
      </c>
      <c r="C1295" s="2" t="str">
        <f>HYPERLINK("http://snap.windin.com/ns/bulletin.php?id=228534&amp;type=1", "露笑科技:首次公开发行股票上市公告书")</f>
        <v>露笑科技:首次公开发行股票上市公告书</v>
      </c>
    </row>
    <row r="1296" spans="1:3" x14ac:dyDescent="0.15">
      <c r="A1296" s="1">
        <v>40805</v>
      </c>
      <c r="B1296" t="s">
        <v>273</v>
      </c>
      <c r="C1296" s="2" t="str">
        <f>HYPERLINK("http://snap.windin.com/ns/bulletin.php?id=130822&amp;type=1", "丹邦科技:首次公开发行股票上市公告书")</f>
        <v>丹邦科技:首次公开发行股票上市公告书</v>
      </c>
    </row>
    <row r="1297" spans="1:3" x14ac:dyDescent="0.15">
      <c r="A1297" s="1">
        <v>40802</v>
      </c>
      <c r="B1297" t="s">
        <v>258</v>
      </c>
      <c r="C1297" s="2" t="str">
        <f>HYPERLINK("http://snap.windin.com/ns/bulletin.php?id=19218370&amp;type=1", "永大集团:首次公开发行股票招股意向书")</f>
        <v>永大集团:首次公开发行股票招股意向书</v>
      </c>
    </row>
    <row r="1298" spans="1:3" x14ac:dyDescent="0.15">
      <c r="A1298" s="1">
        <v>40802</v>
      </c>
      <c r="B1298" t="s">
        <v>260</v>
      </c>
      <c r="C1298" s="2" t="str">
        <f>HYPERLINK("http://snap.windin.com/ns/bulletin.php?id=18906470&amp;type=1", "亚玛顿:首次公开发行股票招股意向书")</f>
        <v>亚玛顿:首次公开发行股票招股意向书</v>
      </c>
    </row>
    <row r="1299" spans="1:3" x14ac:dyDescent="0.15">
      <c r="A1299" s="1">
        <v>40802</v>
      </c>
      <c r="B1299" t="s">
        <v>260</v>
      </c>
      <c r="C1299" s="2" t="str">
        <f>HYPERLINK("http://snap.windin.com/ns/bulletin.php?id=2072732&amp;type=1", "亚玛顿:首次公开发行股票招股意向书摘要")</f>
        <v>亚玛顿:首次公开发行股票招股意向书摘要</v>
      </c>
    </row>
    <row r="1300" spans="1:3" x14ac:dyDescent="0.15">
      <c r="A1300" s="1">
        <v>40802</v>
      </c>
      <c r="B1300" t="s">
        <v>267</v>
      </c>
      <c r="C1300" s="2" t="str">
        <f>HYPERLINK("http://snap.windin.com/ns/bulletin.php?id=2053644&amp;type=1", "兴源过滤:首次公开发行股票并在创业板上市招股说明书")</f>
        <v>兴源过滤:首次公开发行股票并在创业板上市招股说明书</v>
      </c>
    </row>
    <row r="1301" spans="1:3" x14ac:dyDescent="0.15">
      <c r="A1301" s="1">
        <v>40802</v>
      </c>
      <c r="B1301" t="s">
        <v>260</v>
      </c>
      <c r="C1301" s="2" t="str">
        <f>HYPERLINK("http://snap.windin.com/ns/bulletin.php?id=2017825&amp;type=1", "亚玛顿:首次公开发行股票招股意向书")</f>
        <v>亚玛顿:首次公开发行股票招股意向书</v>
      </c>
    </row>
    <row r="1302" spans="1:3" x14ac:dyDescent="0.15">
      <c r="A1302" s="1">
        <v>40802</v>
      </c>
      <c r="B1302" t="s">
        <v>258</v>
      </c>
      <c r="C1302" s="2" t="str">
        <f>HYPERLINK("http://snap.windin.com/ns/bulletin.php?id=1959977&amp;type=1", "永大集团:首次公开发行股票招股意向书摘要")</f>
        <v>永大集团:首次公开发行股票招股意向书摘要</v>
      </c>
    </row>
    <row r="1303" spans="1:3" x14ac:dyDescent="0.15">
      <c r="A1303" s="1">
        <v>40802</v>
      </c>
      <c r="B1303" t="s">
        <v>274</v>
      </c>
      <c r="C1303" s="2" t="str">
        <f>HYPERLINK("http://snap.windin.com/ns/bulletin.php?id=1918626&amp;type=1", "明泰铝业:首次公开发行A股股票上市公告书")</f>
        <v>明泰铝业:首次公开发行A股股票上市公告书</v>
      </c>
    </row>
    <row r="1304" spans="1:3" x14ac:dyDescent="0.15">
      <c r="A1304" s="1">
        <v>40802</v>
      </c>
      <c r="B1304" t="s">
        <v>274</v>
      </c>
      <c r="C1304" s="2" t="str">
        <f>HYPERLINK("http://snap.windin.com/ns/bulletin.php?id=519949&amp;type=1", "明泰铝业:首次公开发行股票招股说明书")</f>
        <v>明泰铝业:首次公开发行股票招股说明书</v>
      </c>
    </row>
    <row r="1305" spans="1:3" x14ac:dyDescent="0.15">
      <c r="A1305" s="1">
        <v>40802</v>
      </c>
      <c r="B1305" t="s">
        <v>258</v>
      </c>
      <c r="C1305" s="2" t="str">
        <f>HYPERLINK("http://snap.windin.com/ns/bulletin.php?id=85726&amp;type=1", "永大集团:首次公开发行股票招股意向书")</f>
        <v>永大集团:首次公开发行股票招股意向书</v>
      </c>
    </row>
    <row r="1306" spans="1:3" x14ac:dyDescent="0.15">
      <c r="A1306" s="1">
        <v>40801</v>
      </c>
      <c r="B1306" t="s">
        <v>275</v>
      </c>
      <c r="C1306" s="2" t="str">
        <f>HYPERLINK("http://snap.windin.com/ns/bulletin.php?id=2067163&amp;type=1", "佳创视讯:首次公开发行股票并在创业板上市之上市公告书")</f>
        <v>佳创视讯:首次公开发行股票并在创业板上市之上市公告书</v>
      </c>
    </row>
    <row r="1307" spans="1:3" x14ac:dyDescent="0.15">
      <c r="A1307" s="1">
        <v>40801</v>
      </c>
      <c r="B1307" t="s">
        <v>276</v>
      </c>
      <c r="C1307" s="2" t="str">
        <f>HYPERLINK("http://snap.windin.com/ns/bulletin.php?id=2016726&amp;type=1", "隆华传热:首次公开发行股票并在创业板上市上市公告书提示性公告")</f>
        <v>隆华传热:首次公开发行股票并在创业板上市上市公告书提示性公告</v>
      </c>
    </row>
    <row r="1308" spans="1:3" x14ac:dyDescent="0.15">
      <c r="A1308" s="1">
        <v>40801</v>
      </c>
      <c r="B1308" t="s">
        <v>276</v>
      </c>
      <c r="C1308" s="2" t="str">
        <f>HYPERLINK("http://snap.windin.com/ns/bulletin.php?id=1333006&amp;type=1", "隆华传热:首次公开发行股票并在创业板上市之上市公告书")</f>
        <v>隆华传热:首次公开发行股票并在创业板上市之上市公告书</v>
      </c>
    </row>
    <row r="1309" spans="1:3" x14ac:dyDescent="0.15">
      <c r="A1309" s="1">
        <v>40801</v>
      </c>
      <c r="B1309" t="s">
        <v>136</v>
      </c>
      <c r="C1309" s="2" t="str">
        <f>HYPERLINK("http://snap.windin.com/ns/bulletin.php?id=906354&amp;type=1", "巴安水务:首次公开发行股票并在创业板上市公告书提示性公告")</f>
        <v>巴安水务:首次公开发行股票并在创业板上市公告书提示性公告</v>
      </c>
    </row>
    <row r="1310" spans="1:3" x14ac:dyDescent="0.15">
      <c r="A1310" s="1">
        <v>40801</v>
      </c>
      <c r="B1310" t="s">
        <v>136</v>
      </c>
      <c r="C1310" s="2" t="str">
        <f>HYPERLINK("http://snap.windin.com/ns/bulletin.php?id=651543&amp;type=1", "巴安水务:首次公开发行股票并在创业板上市公告书")</f>
        <v>巴安水务:首次公开发行股票并在创业板上市公告书</v>
      </c>
    </row>
    <row r="1311" spans="1:3" x14ac:dyDescent="0.15">
      <c r="A1311" s="1">
        <v>40801</v>
      </c>
      <c r="B1311" t="s">
        <v>275</v>
      </c>
      <c r="C1311" s="2" t="str">
        <f>HYPERLINK("http://snap.windin.com/ns/bulletin.php?id=524131&amp;type=1", "佳创视讯:首次公开发行股票并在创业板上市公告书提示性公告")</f>
        <v>佳创视讯:首次公开发行股票并在创业板上市公告书提示性公告</v>
      </c>
    </row>
    <row r="1312" spans="1:3" x14ac:dyDescent="0.15">
      <c r="A1312" s="1">
        <v>40801</v>
      </c>
      <c r="B1312" t="s">
        <v>277</v>
      </c>
      <c r="C1312" s="2" t="str">
        <f>HYPERLINK("http://snap.windin.com/ns/bulletin.php?id=410238&amp;type=1", "通光线缆:首次公开发行股票并在创业板上市上市公告书提示性公告")</f>
        <v>通光线缆:首次公开发行股票并在创业板上市上市公告书提示性公告</v>
      </c>
    </row>
    <row r="1313" spans="1:3" x14ac:dyDescent="0.15">
      <c r="A1313" s="1">
        <v>40801</v>
      </c>
      <c r="B1313" t="s">
        <v>277</v>
      </c>
      <c r="C1313" s="2" t="str">
        <f>HYPERLINK("http://snap.windin.com/ns/bulletin.php?id=202351&amp;type=1", "通光线缆:首次公开发行股票并在创业板上市之上市公告书")</f>
        <v>通光线缆:首次公开发行股票并在创业板上市之上市公告书</v>
      </c>
    </row>
    <row r="1314" spans="1:3" x14ac:dyDescent="0.15">
      <c r="A1314" s="1">
        <v>40800</v>
      </c>
      <c r="B1314" t="s">
        <v>269</v>
      </c>
      <c r="C1314" s="2" t="str">
        <f>HYPERLINK("http://snap.windin.com/ns/bulletin.php?id=1763642&amp;type=1", "万福生科:首次公开发行股票并在创业板上市招股说明书")</f>
        <v>万福生科:首次公开发行股票并在创业板上市招股说明书</v>
      </c>
    </row>
    <row r="1315" spans="1:3" x14ac:dyDescent="0.15">
      <c r="A1315" s="1">
        <v>40800</v>
      </c>
      <c r="B1315" t="s">
        <v>268</v>
      </c>
      <c r="C1315" s="2" t="str">
        <f>HYPERLINK("http://snap.windin.com/ns/bulletin.php?id=1553275&amp;type=1", "尔康制药:首次公开发行股票并在创业板上市招股说明书")</f>
        <v>尔康制药:首次公开发行股票并在创业板上市招股说明书</v>
      </c>
    </row>
    <row r="1316" spans="1:3" x14ac:dyDescent="0.15">
      <c r="A1316" s="1">
        <v>40795</v>
      </c>
      <c r="B1316" t="s">
        <v>265</v>
      </c>
      <c r="C1316" s="2" t="str">
        <f>HYPERLINK("http://snap.windin.com/ns/bulletin.php?id=19126762&amp;type=1", "瑞和股份:首次公开发行股票招股意向书")</f>
        <v>瑞和股份:首次公开发行股票招股意向书</v>
      </c>
    </row>
    <row r="1317" spans="1:3" x14ac:dyDescent="0.15">
      <c r="A1317" s="1">
        <v>40795</v>
      </c>
      <c r="B1317" t="s">
        <v>265</v>
      </c>
      <c r="C1317" s="2" t="str">
        <f>HYPERLINK("http://snap.windin.com/ns/bulletin.php?id=18471196&amp;type=1", "瑞和股份:首次公开发行股票招股意向书")</f>
        <v>瑞和股份:首次公开发行股票招股意向书</v>
      </c>
    </row>
    <row r="1318" spans="1:3" x14ac:dyDescent="0.15">
      <c r="A1318" s="1">
        <v>40795</v>
      </c>
      <c r="B1318" t="s">
        <v>265</v>
      </c>
      <c r="C1318" s="2" t="str">
        <f>HYPERLINK("http://snap.windin.com/ns/bulletin.php?id=208208&amp;type=1", "瑞和股份:首次公开发行股票招股意向书")</f>
        <v>瑞和股份:首次公开发行股票招股意向书</v>
      </c>
    </row>
    <row r="1319" spans="1:3" x14ac:dyDescent="0.15">
      <c r="A1319" s="1">
        <v>40795</v>
      </c>
      <c r="B1319" t="s">
        <v>265</v>
      </c>
      <c r="C1319" s="2" t="str">
        <f>HYPERLINK("http://snap.windin.com/ns/bulletin.php?id=99665&amp;type=1", "瑞和股份:首次公开发行股票招股意向书摘要")</f>
        <v>瑞和股份:首次公开发行股票招股意向书摘要</v>
      </c>
    </row>
    <row r="1320" spans="1:3" x14ac:dyDescent="0.15">
      <c r="A1320" s="1">
        <v>40794</v>
      </c>
      <c r="B1320" t="s">
        <v>262</v>
      </c>
      <c r="C1320" s="2" t="str">
        <f>HYPERLINK("http://snap.windin.com/ns/bulletin.php?id=18607422&amp;type=1", "大连三垒:首次公开发行股票招股意向书")</f>
        <v>大连三垒:首次公开发行股票招股意向书</v>
      </c>
    </row>
    <row r="1321" spans="1:3" x14ac:dyDescent="0.15">
      <c r="A1321" s="1">
        <v>40794</v>
      </c>
      <c r="B1321" t="s">
        <v>264</v>
      </c>
      <c r="C1321" s="2" t="str">
        <f>HYPERLINK("http://snap.windin.com/ns/bulletin.php?id=18591320&amp;type=1", "巨龙管业:首次公开发行股票招股意向书")</f>
        <v>巨龙管业:首次公开发行股票招股意向书</v>
      </c>
    </row>
    <row r="1322" spans="1:3" x14ac:dyDescent="0.15">
      <c r="A1322" s="1">
        <v>40794</v>
      </c>
      <c r="B1322" t="s">
        <v>262</v>
      </c>
      <c r="C1322" s="2" t="str">
        <f>HYPERLINK("http://snap.windin.com/ns/bulletin.php?id=18497762&amp;type=1", "大连三垒:首次公开发行股票招股意向书")</f>
        <v>大连三垒:首次公开发行股票招股意向书</v>
      </c>
    </row>
    <row r="1323" spans="1:3" x14ac:dyDescent="0.15">
      <c r="A1323" s="1">
        <v>40794</v>
      </c>
      <c r="B1323" t="s">
        <v>263</v>
      </c>
      <c r="C1323" s="2" t="str">
        <f>HYPERLINK("http://snap.windin.com/ns/bulletin.php?id=2114976&amp;type=1", "丰林集团:首次公开发行股票招股意向书附录一")</f>
        <v>丰林集团:首次公开发行股票招股意向书附录一</v>
      </c>
    </row>
    <row r="1324" spans="1:3" x14ac:dyDescent="0.15">
      <c r="A1324" s="1">
        <v>40794</v>
      </c>
      <c r="B1324" t="s">
        <v>272</v>
      </c>
      <c r="C1324" s="2" t="str">
        <f>HYPERLINK("http://snap.windin.com/ns/bulletin.php?id=2046336&amp;type=1", "长青集团:首次公开发行股票招股说明书")</f>
        <v>长青集团:首次公开发行股票招股说明书</v>
      </c>
    </row>
    <row r="1325" spans="1:3" x14ac:dyDescent="0.15">
      <c r="A1325" s="1">
        <v>40794</v>
      </c>
      <c r="B1325" t="s">
        <v>263</v>
      </c>
      <c r="C1325" s="2" t="str">
        <f>HYPERLINK("http://snap.windin.com/ns/bulletin.php?id=1782579&amp;type=1", "丰林集团:首次公开发行股票招股意向书摘要")</f>
        <v>丰林集团:首次公开发行股票招股意向书摘要</v>
      </c>
    </row>
    <row r="1326" spans="1:3" x14ac:dyDescent="0.15">
      <c r="A1326" s="1">
        <v>40794</v>
      </c>
      <c r="B1326" t="s">
        <v>262</v>
      </c>
      <c r="C1326" s="2" t="str">
        <f>HYPERLINK("http://snap.windin.com/ns/bulletin.php?id=1775353&amp;type=1", "大连三垒:首次公开发行股票招股意向书")</f>
        <v>大连三垒:首次公开发行股票招股意向书</v>
      </c>
    </row>
    <row r="1327" spans="1:3" x14ac:dyDescent="0.15">
      <c r="A1327" s="1">
        <v>40794</v>
      </c>
      <c r="B1327" t="s">
        <v>262</v>
      </c>
      <c r="C1327" s="2" t="str">
        <f>HYPERLINK("http://snap.windin.com/ns/bulletin.php?id=1698740&amp;type=1", "大连三垒:首次公开发行股票招股意向书摘要")</f>
        <v>大连三垒:首次公开发行股票招股意向书摘要</v>
      </c>
    </row>
    <row r="1328" spans="1:3" x14ac:dyDescent="0.15">
      <c r="A1328" s="1">
        <v>40794</v>
      </c>
      <c r="B1328" t="s">
        <v>264</v>
      </c>
      <c r="C1328" s="2" t="str">
        <f>HYPERLINK("http://snap.windin.com/ns/bulletin.php?id=1441481&amp;type=1", "巨龙管业:首次公开发行股票招股意向书")</f>
        <v>巨龙管业:首次公开发行股票招股意向书</v>
      </c>
    </row>
    <row r="1329" spans="1:3" x14ac:dyDescent="0.15">
      <c r="A1329" s="1">
        <v>40794</v>
      </c>
      <c r="B1329" t="s">
        <v>278</v>
      </c>
      <c r="C1329" s="2" t="str">
        <f>HYPERLINK("http://snap.windin.com/ns/bulletin.php?id=1414135&amp;type=1", "哈尔斯:首次公开发行股票上市公告书")</f>
        <v>哈尔斯:首次公开发行股票上市公告书</v>
      </c>
    </row>
    <row r="1330" spans="1:3" x14ac:dyDescent="0.15">
      <c r="A1330" s="1">
        <v>40794</v>
      </c>
      <c r="B1330" t="s">
        <v>272</v>
      </c>
      <c r="C1330" s="2" t="str">
        <f>HYPERLINK("http://snap.windin.com/ns/bulletin.php?id=1244614&amp;type=1", "长青集团:首次公开发行股票招股说明书摘要")</f>
        <v>长青集团:首次公开发行股票招股说明书摘要</v>
      </c>
    </row>
    <row r="1331" spans="1:3" x14ac:dyDescent="0.15">
      <c r="A1331" s="1">
        <v>40794</v>
      </c>
      <c r="B1331" t="s">
        <v>263</v>
      </c>
      <c r="C1331" s="2" t="str">
        <f>HYPERLINK("http://snap.windin.com/ns/bulletin.php?id=719299&amp;type=1", "丰林集团:首次公开发行股票招股意向书附录二")</f>
        <v>丰林集团:首次公开发行股票招股意向书附录二</v>
      </c>
    </row>
    <row r="1332" spans="1:3" x14ac:dyDescent="0.15">
      <c r="A1332" s="1">
        <v>40794</v>
      </c>
      <c r="B1332" t="s">
        <v>279</v>
      </c>
      <c r="C1332" s="2" t="str">
        <f>HYPERLINK("http://snap.windin.com/ns/bulletin.php?id=664175&amp;type=1", "蒙发利:首次公开发行股票上市公告书")</f>
        <v>蒙发利:首次公开发行股票上市公告书</v>
      </c>
    </row>
    <row r="1333" spans="1:3" x14ac:dyDescent="0.15">
      <c r="A1333" s="1">
        <v>40794</v>
      </c>
      <c r="B1333" t="s">
        <v>263</v>
      </c>
      <c r="C1333" s="2" t="str">
        <f>HYPERLINK("http://snap.windin.com/ns/bulletin.php?id=580464&amp;type=1", "丰林集团:首次公开发行股票招股意向书")</f>
        <v>丰林集团:首次公开发行股票招股意向书</v>
      </c>
    </row>
    <row r="1334" spans="1:3" x14ac:dyDescent="0.15">
      <c r="A1334" s="1">
        <v>40794</v>
      </c>
      <c r="B1334" t="s">
        <v>263</v>
      </c>
      <c r="C1334" s="2" t="str">
        <f>HYPERLINK("http://snap.windin.com/ns/bulletin.php?id=495901&amp;type=1", "丰林集团:首次公开发行股票招股意向书附录三")</f>
        <v>丰林集团:首次公开发行股票招股意向书附录三</v>
      </c>
    </row>
    <row r="1335" spans="1:3" x14ac:dyDescent="0.15">
      <c r="A1335" s="1">
        <v>40794</v>
      </c>
      <c r="B1335" t="s">
        <v>264</v>
      </c>
      <c r="C1335" s="2" t="str">
        <f>HYPERLINK("http://snap.windin.com/ns/bulletin.php?id=80254&amp;type=1", "巨龙管业:首次公开发行股票招股意向书摘要")</f>
        <v>巨龙管业:首次公开发行股票招股意向书摘要</v>
      </c>
    </row>
    <row r="1336" spans="1:3" x14ac:dyDescent="0.15">
      <c r="A1336" s="1">
        <v>40793</v>
      </c>
      <c r="B1336" t="s">
        <v>280</v>
      </c>
      <c r="C1336" s="2" t="str">
        <f>HYPERLINK("http://snap.windin.com/ns/bulletin.php?id=1022507&amp;type=1", "京运通:首次公开发行股票（A股）上市公告书")</f>
        <v>京运通:首次公开发行股票（A股）上市公告书</v>
      </c>
    </row>
    <row r="1337" spans="1:3" x14ac:dyDescent="0.15">
      <c r="A1337" s="1">
        <v>40793</v>
      </c>
      <c r="B1337" t="s">
        <v>54</v>
      </c>
      <c r="C1337" s="2" t="str">
        <f>HYPERLINK("http://snap.windin.com/ns/bulletin.php?id=1021429&amp;type=1", "露笑科技:首次公开发行股票招股说明书")</f>
        <v>露笑科技:首次公开发行股票招股说明书</v>
      </c>
    </row>
    <row r="1338" spans="1:3" x14ac:dyDescent="0.15">
      <c r="A1338" s="1">
        <v>40793</v>
      </c>
      <c r="B1338" t="s">
        <v>280</v>
      </c>
      <c r="C1338" s="2" t="str">
        <f>HYPERLINK("http://snap.windin.com/ns/bulletin.php?id=710465&amp;type=1", "京运通:首次公开发行股票（A股）招股说明书")</f>
        <v>京运通:首次公开发行股票（A股）招股说明书</v>
      </c>
    </row>
    <row r="1339" spans="1:3" x14ac:dyDescent="0.15">
      <c r="A1339" s="1">
        <v>40793</v>
      </c>
      <c r="B1339" t="s">
        <v>54</v>
      </c>
      <c r="C1339" s="2" t="str">
        <f>HYPERLINK("http://snap.windin.com/ns/bulletin.php?id=446269&amp;type=1", "露笑科技:首次公开发行股票招股说明书摘要")</f>
        <v>露笑科技:首次公开发行股票招股说明书摘要</v>
      </c>
    </row>
    <row r="1340" spans="1:3" x14ac:dyDescent="0.15">
      <c r="A1340" s="1">
        <v>40792</v>
      </c>
      <c r="B1340" t="s">
        <v>267</v>
      </c>
      <c r="C1340" s="2" t="str">
        <f>HYPERLINK("http://snap.windin.com/ns/bulletin.php?id=19474380&amp;type=1", "兴源过滤:首次公开发行股票并在创业板上市招股意向书")</f>
        <v>兴源过滤:首次公开发行股票并在创业板上市招股意向书</v>
      </c>
    </row>
    <row r="1341" spans="1:3" x14ac:dyDescent="0.15">
      <c r="A1341" s="1">
        <v>40792</v>
      </c>
      <c r="B1341" t="s">
        <v>269</v>
      </c>
      <c r="C1341" s="2" t="str">
        <f>HYPERLINK("http://snap.windin.com/ns/bulletin.php?id=18839676&amp;type=1", "万福生科:首次公开发行股票并在创业板上市招股意向书")</f>
        <v>万福生科:首次公开发行股票并在创业板上市招股意向书</v>
      </c>
    </row>
    <row r="1342" spans="1:3" x14ac:dyDescent="0.15">
      <c r="A1342" s="1">
        <v>40792</v>
      </c>
      <c r="B1342" t="s">
        <v>268</v>
      </c>
      <c r="C1342" s="2" t="str">
        <f>HYPERLINK("http://snap.windin.com/ns/bulletin.php?id=18488594&amp;type=1", "尔康制药:首次公开发行股票并在创业板上市招股意向书")</f>
        <v>尔康制药:首次公开发行股票并在创业板上市招股意向书</v>
      </c>
    </row>
    <row r="1343" spans="1:3" x14ac:dyDescent="0.15">
      <c r="A1343" s="1">
        <v>40792</v>
      </c>
      <c r="B1343" t="s">
        <v>267</v>
      </c>
      <c r="C1343" s="2" t="str">
        <f>HYPERLINK("http://snap.windin.com/ns/bulletin.php?id=2009170&amp;type=1", "兴源过滤:首次公开发行股票并在创业板上市招股意向书")</f>
        <v>兴源过滤:首次公开发行股票并在创业板上市招股意向书</v>
      </c>
    </row>
    <row r="1344" spans="1:3" x14ac:dyDescent="0.15">
      <c r="A1344" s="1">
        <v>40792</v>
      </c>
      <c r="B1344" t="s">
        <v>273</v>
      </c>
      <c r="C1344" s="2" t="str">
        <f>HYPERLINK("http://snap.windin.com/ns/bulletin.php?id=1779732&amp;type=1", "丹邦科技:首次公开发行股票招股说明书")</f>
        <v>丹邦科技:首次公开发行股票招股说明书</v>
      </c>
    </row>
    <row r="1345" spans="1:3" x14ac:dyDescent="0.15">
      <c r="A1345" s="1">
        <v>40792</v>
      </c>
      <c r="B1345" t="s">
        <v>276</v>
      </c>
      <c r="C1345" s="2" t="str">
        <f>HYPERLINK("http://snap.windin.com/ns/bulletin.php?id=1637266&amp;type=1", "隆华传热:首次公开发行股票并在创业板上市招股说明书")</f>
        <v>隆华传热:首次公开发行股票并在创业板上市招股说明书</v>
      </c>
    </row>
    <row r="1346" spans="1:3" x14ac:dyDescent="0.15">
      <c r="A1346" s="1">
        <v>40792</v>
      </c>
      <c r="B1346" t="s">
        <v>268</v>
      </c>
      <c r="C1346" s="2" t="str">
        <f>HYPERLINK("http://snap.windin.com/ns/bulletin.php?id=915477&amp;type=1", "尔康制药:首次公开发行股票并在创业板上市招股意向书")</f>
        <v>尔康制药:首次公开发行股票并在创业板上市招股意向书</v>
      </c>
    </row>
    <row r="1347" spans="1:3" x14ac:dyDescent="0.15">
      <c r="A1347" s="1">
        <v>40792</v>
      </c>
      <c r="B1347" t="s">
        <v>269</v>
      </c>
      <c r="C1347" s="2" t="str">
        <f>HYPERLINK("http://snap.windin.com/ns/bulletin.php?id=460511&amp;type=1", "万福生科:首次公开发行股票并在创业板上市招股意向书")</f>
        <v>万福生科:首次公开发行股票并在创业板上市招股意向书</v>
      </c>
    </row>
    <row r="1348" spans="1:3" x14ac:dyDescent="0.15">
      <c r="A1348" s="1">
        <v>40792</v>
      </c>
      <c r="B1348" t="s">
        <v>273</v>
      </c>
      <c r="C1348" s="2" t="str">
        <f>HYPERLINK("http://snap.windin.com/ns/bulletin.php?id=174355&amp;type=1", "丹邦科技:首次公开发行股票招股说明书摘要")</f>
        <v>丹邦科技:首次公开发行股票招股说明书摘要</v>
      </c>
    </row>
    <row r="1349" spans="1:3" x14ac:dyDescent="0.15">
      <c r="A1349" s="1">
        <v>40791</v>
      </c>
      <c r="B1349" t="s">
        <v>275</v>
      </c>
      <c r="C1349" s="2" t="str">
        <f>HYPERLINK("http://snap.windin.com/ns/bulletin.php?id=2107598&amp;type=1", "佳创视讯:首次公开发行股票并在创业板上市招股说明书")</f>
        <v>佳创视讯:首次公开发行股票并在创业板上市招股说明书</v>
      </c>
    </row>
    <row r="1350" spans="1:3" x14ac:dyDescent="0.15">
      <c r="A1350" s="1">
        <v>40791</v>
      </c>
      <c r="B1350" t="s">
        <v>281</v>
      </c>
      <c r="C1350" s="2" t="str">
        <f>HYPERLINK("http://snap.windin.com/ns/bulletin.php?id=2010126&amp;type=1", "雅本化学:首次公开发行股票并在创业板上市之上市公告书")</f>
        <v>雅本化学:首次公开发行股票并在创业板上市之上市公告书</v>
      </c>
    </row>
    <row r="1351" spans="1:3" x14ac:dyDescent="0.15">
      <c r="A1351" s="1">
        <v>40791</v>
      </c>
      <c r="B1351" t="s">
        <v>282</v>
      </c>
      <c r="C1351" s="2" t="str">
        <f>HYPERLINK("http://snap.windin.com/ns/bulletin.php?id=1081630&amp;type=1", "新莱应材:首次公开发行股票并在创业板上市之上市公告书")</f>
        <v>新莱应材:首次公开发行股票并在创业板上市之上市公告书</v>
      </c>
    </row>
    <row r="1352" spans="1:3" x14ac:dyDescent="0.15">
      <c r="A1352" s="1">
        <v>40791</v>
      </c>
      <c r="B1352" t="s">
        <v>281</v>
      </c>
      <c r="C1352" s="2" t="str">
        <f>HYPERLINK("http://snap.windin.com/ns/bulletin.php?id=781196&amp;type=1", "雅本化学:首次公开发行股票并在创业板上市上市公告书提示性公告")</f>
        <v>雅本化学:首次公开发行股票并在创业板上市上市公告书提示性公告</v>
      </c>
    </row>
    <row r="1353" spans="1:3" x14ac:dyDescent="0.15">
      <c r="A1353" s="1">
        <v>40791</v>
      </c>
      <c r="B1353" t="s">
        <v>282</v>
      </c>
      <c r="C1353" s="2" t="str">
        <f>HYPERLINK("http://snap.windin.com/ns/bulletin.php?id=779184&amp;type=1", "新莱应材:首次公开发行股票并在创业板上市之上市公告书提示性公告")</f>
        <v>新莱应材:首次公开发行股票并在创业板上市之上市公告书提示性公告</v>
      </c>
    </row>
    <row r="1354" spans="1:3" x14ac:dyDescent="0.15">
      <c r="A1354" s="1">
        <v>40788</v>
      </c>
      <c r="B1354" t="s">
        <v>136</v>
      </c>
      <c r="C1354" s="2" t="str">
        <f>HYPERLINK("http://snap.windin.com/ns/bulletin.php?id=1992315&amp;type=1", "巴安水务:首次公开发行股票并在创业板上市招股说明书")</f>
        <v>巴安水务:首次公开发行股票并在创业板上市招股说明书</v>
      </c>
    </row>
    <row r="1355" spans="1:3" x14ac:dyDescent="0.15">
      <c r="A1355" s="1">
        <v>40788</v>
      </c>
      <c r="B1355" t="s">
        <v>266</v>
      </c>
      <c r="C1355" s="2" t="str">
        <f>HYPERLINK("http://snap.windin.com/ns/bulletin.php?id=1844732&amp;type=1", "长城汽车:首次公开发行A股股票招股意向书")</f>
        <v>长城汽车:首次公开发行A股股票招股意向书</v>
      </c>
    </row>
    <row r="1356" spans="1:3" x14ac:dyDescent="0.15">
      <c r="A1356" s="1">
        <v>40788</v>
      </c>
      <c r="B1356" t="s">
        <v>277</v>
      </c>
      <c r="C1356" s="2" t="str">
        <f>HYPERLINK("http://snap.windin.com/ns/bulletin.php?id=1717545&amp;type=1", "通光线缆:首次公开发行股票并在创业板上市招股说明书")</f>
        <v>通光线缆:首次公开发行股票并在创业板上市招股说明书</v>
      </c>
    </row>
    <row r="1357" spans="1:3" x14ac:dyDescent="0.15">
      <c r="A1357" s="1">
        <v>40788</v>
      </c>
      <c r="B1357" t="s">
        <v>266</v>
      </c>
      <c r="C1357" s="2" t="str">
        <f>HYPERLINK("http://snap.windin.com/ns/bulletin.php?id=1705119&amp;type=1", "长城汽车:首次公开发行股票（A股）招股意向书附录一")</f>
        <v>长城汽车:首次公开发行股票（A股）招股意向书附录一</v>
      </c>
    </row>
    <row r="1358" spans="1:3" x14ac:dyDescent="0.15">
      <c r="A1358" s="1">
        <v>40788</v>
      </c>
      <c r="B1358" t="s">
        <v>266</v>
      </c>
      <c r="C1358" s="2" t="str">
        <f>HYPERLINK("http://snap.windin.com/ns/bulletin.php?id=903941&amp;type=1", "长城汽车:首次公开发行股票（A股）招股意向书附录二")</f>
        <v>长城汽车:首次公开发行股票（A股）招股意向书附录二</v>
      </c>
    </row>
    <row r="1359" spans="1:3" x14ac:dyDescent="0.15">
      <c r="A1359" s="1">
        <v>40788</v>
      </c>
      <c r="B1359" t="s">
        <v>266</v>
      </c>
      <c r="C1359" s="2" t="str">
        <f>HYPERLINK("http://snap.windin.com/ns/bulletin.php?id=509588&amp;type=1", "长城汽车:首次公开发行A股股票招股意向书摘要")</f>
        <v>长城汽车:首次公开发行A股股票招股意向书摘要</v>
      </c>
    </row>
    <row r="1360" spans="1:3" x14ac:dyDescent="0.15">
      <c r="A1360" s="1">
        <v>40787</v>
      </c>
      <c r="B1360" t="s">
        <v>278</v>
      </c>
      <c r="C1360" s="2" t="str">
        <f>HYPERLINK("http://snap.windin.com/ns/bulletin.php?id=216080&amp;type=1", "哈尔斯:首次公开发行股票招股说明书摘要")</f>
        <v>哈尔斯:首次公开发行股票招股说明书摘要</v>
      </c>
    </row>
    <row r="1361" spans="1:3" x14ac:dyDescent="0.15">
      <c r="A1361" s="1">
        <v>40787</v>
      </c>
      <c r="B1361" t="s">
        <v>278</v>
      </c>
      <c r="C1361" s="2" t="str">
        <f>HYPERLINK("http://snap.windin.com/ns/bulletin.php?id=159860&amp;type=1", "哈尔斯:首次公开发行股票招股说明书")</f>
        <v>哈尔斯:首次公开发行股票招股说明书</v>
      </c>
    </row>
    <row r="1362" spans="1:3" x14ac:dyDescent="0.15">
      <c r="A1362" s="1">
        <v>40786</v>
      </c>
      <c r="B1362" t="s">
        <v>272</v>
      </c>
      <c r="C1362" s="2" t="str">
        <f>HYPERLINK("http://snap.windin.com/ns/bulletin.php?id=18513478&amp;type=1", "长青集团:首次公开发行股票招股意向书")</f>
        <v>长青集团:首次公开发行股票招股意向书</v>
      </c>
    </row>
    <row r="1363" spans="1:3" x14ac:dyDescent="0.15">
      <c r="A1363" s="1">
        <v>40786</v>
      </c>
      <c r="B1363" t="s">
        <v>272</v>
      </c>
      <c r="C1363" s="2" t="str">
        <f>HYPERLINK("http://snap.windin.com/ns/bulletin.php?id=2090718&amp;type=1", "长青集团:首次公开发行股票招股意向书")</f>
        <v>长青集团:首次公开发行股票招股意向书</v>
      </c>
    </row>
    <row r="1364" spans="1:3" x14ac:dyDescent="0.15">
      <c r="A1364" s="1">
        <v>40786</v>
      </c>
      <c r="B1364" t="s">
        <v>272</v>
      </c>
      <c r="C1364" s="2" t="str">
        <f>HYPERLINK("http://snap.windin.com/ns/bulletin.php?id=663523&amp;type=1", "长青集团:首次公开发行股票招股意向书摘要")</f>
        <v>长青集团:首次公开发行股票招股意向书摘要</v>
      </c>
    </row>
    <row r="1365" spans="1:3" x14ac:dyDescent="0.15">
      <c r="A1365" s="1">
        <v>40785</v>
      </c>
      <c r="B1365" t="s">
        <v>54</v>
      </c>
      <c r="C1365" s="2" t="str">
        <f>HYPERLINK("http://snap.windin.com/ns/bulletin.php?id=1942571&amp;type=1", "露笑科技:首次公开发行股票招股意向书摘要")</f>
        <v>露笑科技:首次公开发行股票招股意向书摘要</v>
      </c>
    </row>
    <row r="1366" spans="1:3" x14ac:dyDescent="0.15">
      <c r="A1366" s="1">
        <v>40785</v>
      </c>
      <c r="B1366" t="s">
        <v>54</v>
      </c>
      <c r="C1366" s="2" t="str">
        <f>HYPERLINK("http://snap.windin.com/ns/bulletin.php?id=1861689&amp;type=1", "露笑科技:首次公开发行股票招股意向书")</f>
        <v>露笑科技:首次公开发行股票招股意向书</v>
      </c>
    </row>
    <row r="1367" spans="1:3" x14ac:dyDescent="0.15">
      <c r="A1367" s="1">
        <v>40785</v>
      </c>
      <c r="B1367" t="s">
        <v>273</v>
      </c>
      <c r="C1367" s="2" t="str">
        <f>HYPERLINK("http://snap.windin.com/ns/bulletin.php?id=1857020&amp;type=1", "丹邦科技:首次公开发行股票招股意向书")</f>
        <v>丹邦科技:首次公开发行股票招股意向书</v>
      </c>
    </row>
    <row r="1368" spans="1:3" x14ac:dyDescent="0.15">
      <c r="A1368" s="1">
        <v>40785</v>
      </c>
      <c r="B1368" t="s">
        <v>279</v>
      </c>
      <c r="C1368" s="2" t="str">
        <f>HYPERLINK("http://snap.windin.com/ns/bulletin.php?id=1823620&amp;type=1", "蒙发利:首次公开发行股票招股说明书")</f>
        <v>蒙发利:首次公开发行股票招股说明书</v>
      </c>
    </row>
    <row r="1369" spans="1:3" x14ac:dyDescent="0.15">
      <c r="A1369" s="1">
        <v>40785</v>
      </c>
      <c r="B1369" t="s">
        <v>274</v>
      </c>
      <c r="C1369" s="2" t="str">
        <f>HYPERLINK("http://snap.windin.com/ns/bulletin.php?id=1722196&amp;type=1", "明泰铝业:首次公开发行股票招股意向书附录一")</f>
        <v>明泰铝业:首次公开发行股票招股意向书附录一</v>
      </c>
    </row>
    <row r="1370" spans="1:3" x14ac:dyDescent="0.15">
      <c r="A1370" s="1">
        <v>40785</v>
      </c>
      <c r="B1370" t="s">
        <v>273</v>
      </c>
      <c r="C1370" s="2" t="str">
        <f>HYPERLINK("http://snap.windin.com/ns/bulletin.php?id=1654963&amp;type=1", "丹邦科技:首次公开发行股票招股意向书摘要")</f>
        <v>丹邦科技:首次公开发行股票招股意向书摘要</v>
      </c>
    </row>
    <row r="1371" spans="1:3" x14ac:dyDescent="0.15">
      <c r="A1371" s="1">
        <v>40785</v>
      </c>
      <c r="B1371" t="s">
        <v>274</v>
      </c>
      <c r="C1371" s="2" t="str">
        <f>HYPERLINK("http://snap.windin.com/ns/bulletin.php?id=1529740&amp;type=1", "明泰铝业:首次公开发行股票招股意向书附录三")</f>
        <v>明泰铝业:首次公开发行股票招股意向书附录三</v>
      </c>
    </row>
    <row r="1372" spans="1:3" x14ac:dyDescent="0.15">
      <c r="A1372" s="1">
        <v>40785</v>
      </c>
      <c r="B1372" t="s">
        <v>274</v>
      </c>
      <c r="C1372" s="2" t="str">
        <f>HYPERLINK("http://snap.windin.com/ns/bulletin.php?id=1433490&amp;type=1", "明泰铝业:首次公开发行股票招股意向书附录四")</f>
        <v>明泰铝业:首次公开发行股票招股意向书附录四</v>
      </c>
    </row>
    <row r="1373" spans="1:3" x14ac:dyDescent="0.15">
      <c r="A1373" s="1">
        <v>40785</v>
      </c>
      <c r="B1373" t="s">
        <v>274</v>
      </c>
      <c r="C1373" s="2" t="str">
        <f>HYPERLINK("http://snap.windin.com/ns/bulletin.php?id=1316227&amp;type=1", "明泰铝业:首次公开发行股票招股意向书摘要")</f>
        <v>明泰铝业:首次公开发行股票招股意向书摘要</v>
      </c>
    </row>
    <row r="1374" spans="1:3" x14ac:dyDescent="0.15">
      <c r="A1374" s="1">
        <v>40785</v>
      </c>
      <c r="B1374" t="s">
        <v>274</v>
      </c>
      <c r="C1374" s="2" t="str">
        <f>HYPERLINK("http://snap.windin.com/ns/bulletin.php?id=764216&amp;type=1", "明泰铝业:首次公开发行股票招股意向书附录二")</f>
        <v>明泰铝业:首次公开发行股票招股意向书附录二</v>
      </c>
    </row>
    <row r="1375" spans="1:3" x14ac:dyDescent="0.15">
      <c r="A1375" s="1">
        <v>40785</v>
      </c>
      <c r="B1375" t="s">
        <v>274</v>
      </c>
      <c r="C1375" s="2" t="str">
        <f>HYPERLINK("http://snap.windin.com/ns/bulletin.php?id=490012&amp;type=1", "明泰铝业:首次公开发行股票招股意向书")</f>
        <v>明泰铝业:首次公开发行股票招股意向书</v>
      </c>
    </row>
    <row r="1376" spans="1:3" x14ac:dyDescent="0.15">
      <c r="A1376" s="1">
        <v>40785</v>
      </c>
      <c r="B1376" t="s">
        <v>279</v>
      </c>
      <c r="C1376" s="2" t="str">
        <f>HYPERLINK("http://snap.windin.com/ns/bulletin.php?id=121053&amp;type=1", "蒙发利:首次公开发行股票招股说明书摘要")</f>
        <v>蒙发利:首次公开发行股票招股说明书摘要</v>
      </c>
    </row>
    <row r="1377" spans="1:3" x14ac:dyDescent="0.15">
      <c r="A1377" s="1">
        <v>40784</v>
      </c>
      <c r="B1377" t="s">
        <v>283</v>
      </c>
      <c r="C1377" s="2" t="str">
        <f>HYPERLINK("http://snap.windin.com/ns/bulletin.php?id=1932664&amp;type=1", "北玻股份:首次公开发行股票上市公告书")</f>
        <v>北玻股份:首次公开发行股票上市公告书</v>
      </c>
    </row>
    <row r="1378" spans="1:3" x14ac:dyDescent="0.15">
      <c r="A1378" s="1">
        <v>40784</v>
      </c>
      <c r="B1378" t="s">
        <v>284</v>
      </c>
      <c r="C1378" s="2" t="str">
        <f>HYPERLINK("http://snap.windin.com/ns/bulletin.php?id=1931453&amp;type=1", "新天科技:首次公开发行股票并在创业板上市之上市公告书")</f>
        <v>新天科技:首次公开发行股票并在创业板上市之上市公告书</v>
      </c>
    </row>
    <row r="1379" spans="1:3" x14ac:dyDescent="0.15">
      <c r="A1379" s="1">
        <v>40784</v>
      </c>
      <c r="B1379" t="s">
        <v>284</v>
      </c>
      <c r="C1379" s="2" t="str">
        <f>HYPERLINK("http://snap.windin.com/ns/bulletin.php?id=1771989&amp;type=1", "新天科技:首次公开发行股票并在创业板上市公告书提示性公告")</f>
        <v>新天科技:首次公开发行股票并在创业板上市公告书提示性公告</v>
      </c>
    </row>
    <row r="1380" spans="1:3" x14ac:dyDescent="0.15">
      <c r="A1380" s="1">
        <v>40784</v>
      </c>
      <c r="B1380" t="s">
        <v>271</v>
      </c>
      <c r="C1380" s="2" t="str">
        <f>HYPERLINK("http://snap.windin.com/ns/bulletin.php?id=492895&amp;type=1", "东方精工:首次公开发行股票上市公告书")</f>
        <v>东方精工:首次公开发行股票上市公告书</v>
      </c>
    </row>
    <row r="1381" spans="1:3" x14ac:dyDescent="0.15">
      <c r="A1381" s="1">
        <v>40784</v>
      </c>
      <c r="B1381" t="s">
        <v>285</v>
      </c>
      <c r="C1381" s="2" t="str">
        <f>HYPERLINK("http://snap.windin.com/ns/bulletin.php?id=167046&amp;type=1", "朗姿股份:首次公开发行股票上市公告书")</f>
        <v>朗姿股份:首次公开发行股票上市公告书</v>
      </c>
    </row>
    <row r="1382" spans="1:3" x14ac:dyDescent="0.15">
      <c r="A1382" s="1">
        <v>40781</v>
      </c>
      <c r="B1382" t="s">
        <v>277</v>
      </c>
      <c r="C1382" s="2" t="str">
        <f>HYPERLINK("http://snap.windin.com/ns/bulletin.php?id=18448542&amp;type=1", "通光线缆:首次公开发行股票并在创业板上市招股意向书")</f>
        <v>通光线缆:首次公开发行股票并在创业板上市招股意向书</v>
      </c>
    </row>
    <row r="1383" spans="1:3" x14ac:dyDescent="0.15">
      <c r="A1383" s="1">
        <v>40781</v>
      </c>
      <c r="B1383" t="s">
        <v>136</v>
      </c>
      <c r="C1383" s="2" t="str">
        <f>HYPERLINK("http://snap.windin.com/ns/bulletin.php?id=1100918&amp;type=1", "巴安水务:首次公开发行股票并在创业板上市招股意向书")</f>
        <v>巴安水务:首次公开发行股票并在创业板上市招股意向书</v>
      </c>
    </row>
    <row r="1384" spans="1:3" x14ac:dyDescent="0.15">
      <c r="A1384" s="1">
        <v>40781</v>
      </c>
      <c r="B1384" t="s">
        <v>281</v>
      </c>
      <c r="C1384" s="2" t="str">
        <f>HYPERLINK("http://snap.windin.com/ns/bulletin.php?id=986199&amp;type=1", "雅本化学:首次公开发行股票并在创业板上市招股说明书")</f>
        <v>雅本化学:首次公开发行股票并在创业板上市招股说明书</v>
      </c>
    </row>
    <row r="1385" spans="1:3" x14ac:dyDescent="0.15">
      <c r="A1385" s="1">
        <v>40781</v>
      </c>
      <c r="B1385" t="s">
        <v>277</v>
      </c>
      <c r="C1385" s="2" t="str">
        <f>HYPERLINK("http://snap.windin.com/ns/bulletin.php?id=459626&amp;type=1", "通光线缆:首次公开发行股票并在创业板上市招股意向书")</f>
        <v>通光线缆:首次公开发行股票并在创业板上市招股意向书</v>
      </c>
    </row>
    <row r="1386" spans="1:3" x14ac:dyDescent="0.15">
      <c r="A1386" s="1">
        <v>40781</v>
      </c>
      <c r="B1386" t="s">
        <v>275</v>
      </c>
      <c r="C1386" s="2" t="str">
        <f>HYPERLINK("http://snap.windin.com/ns/bulletin.php?id=457272&amp;type=1", "佳创视讯:首次公开发行股票并在创业板上市招股意向书")</f>
        <v>佳创视讯:首次公开发行股票并在创业板上市招股意向书</v>
      </c>
    </row>
    <row r="1387" spans="1:3" x14ac:dyDescent="0.15">
      <c r="A1387" s="1">
        <v>40781</v>
      </c>
      <c r="B1387" t="s">
        <v>276</v>
      </c>
      <c r="C1387" s="2" t="str">
        <f>HYPERLINK("http://snap.windin.com/ns/bulletin.php?id=233970&amp;type=1", "隆华传热:首次公开发行股票并在创业板上市招股意向书")</f>
        <v>隆华传热:首次公开发行股票并在创业板上市招股意向书</v>
      </c>
    </row>
    <row r="1388" spans="1:3" x14ac:dyDescent="0.15">
      <c r="A1388" s="1">
        <v>40780</v>
      </c>
      <c r="B1388" t="s">
        <v>286</v>
      </c>
      <c r="C1388" s="2" t="str">
        <f>HYPERLINK("http://snap.windin.com/ns/bulletin.php?id=1463873&amp;type=1", "精锻科技:首次公开发行股票并在创业板上市之上市公告书")</f>
        <v>精锻科技:首次公开发行股票并在创业板上市之上市公告书</v>
      </c>
    </row>
    <row r="1389" spans="1:3" x14ac:dyDescent="0.15">
      <c r="A1389" s="1">
        <v>40780</v>
      </c>
      <c r="B1389" t="s">
        <v>286</v>
      </c>
      <c r="C1389" s="2" t="str">
        <f>HYPERLINK("http://snap.windin.com/ns/bulletin.php?id=1039117&amp;type=1", "精锻科技:首次公开发行股票并在创业板上市上市公告书提示性公告")</f>
        <v>精锻科技:首次公开发行股票并在创业板上市上市公告书提示性公告</v>
      </c>
    </row>
    <row r="1390" spans="1:3" x14ac:dyDescent="0.15">
      <c r="A1390" s="1">
        <v>40778</v>
      </c>
      <c r="B1390" t="s">
        <v>278</v>
      </c>
      <c r="C1390" s="2" t="str">
        <f>HYPERLINK("http://snap.windin.com/ns/bulletin.php?id=18439130&amp;type=1", "哈尔斯:首次公开发行股票招股意向书")</f>
        <v>哈尔斯:首次公开发行股票招股意向书</v>
      </c>
    </row>
    <row r="1391" spans="1:3" x14ac:dyDescent="0.15">
      <c r="A1391" s="1">
        <v>40778</v>
      </c>
      <c r="B1391" t="s">
        <v>279</v>
      </c>
      <c r="C1391" s="2" t="str">
        <f>HYPERLINK("http://snap.windin.com/ns/bulletin.php?id=1976109&amp;type=1", "蒙发利:首次公开发行股票并上市招股意向书")</f>
        <v>蒙发利:首次公开发行股票并上市招股意向书</v>
      </c>
    </row>
    <row r="1392" spans="1:3" x14ac:dyDescent="0.15">
      <c r="A1392" s="1">
        <v>40778</v>
      </c>
      <c r="B1392" t="s">
        <v>278</v>
      </c>
      <c r="C1392" s="2" t="str">
        <f>HYPERLINK("http://snap.windin.com/ns/bulletin.php?id=418594&amp;type=1", "哈尔斯:首次公开发行股票招股意向书摘要")</f>
        <v>哈尔斯:首次公开发行股票招股意向书摘要</v>
      </c>
    </row>
    <row r="1393" spans="1:3" x14ac:dyDescent="0.15">
      <c r="A1393" s="1">
        <v>40778</v>
      </c>
      <c r="B1393" t="s">
        <v>278</v>
      </c>
      <c r="C1393" s="2" t="str">
        <f>HYPERLINK("http://snap.windin.com/ns/bulletin.php?id=197394&amp;type=1", "哈尔斯:首次公开发行股票招股意向书")</f>
        <v>哈尔斯:首次公开发行股票招股意向书</v>
      </c>
    </row>
    <row r="1394" spans="1:3" x14ac:dyDescent="0.15">
      <c r="A1394" s="1">
        <v>40778</v>
      </c>
      <c r="B1394" t="s">
        <v>279</v>
      </c>
      <c r="C1394" s="2" t="str">
        <f>HYPERLINK("http://snap.windin.com/ns/bulletin.php?id=160393&amp;type=1", "蒙发利:首次公开发行股票并上市招股意向书摘要")</f>
        <v>蒙发利:首次公开发行股票并上市招股意向书摘要</v>
      </c>
    </row>
    <row r="1395" spans="1:3" x14ac:dyDescent="0.15">
      <c r="A1395" s="1">
        <v>40777</v>
      </c>
      <c r="B1395" t="s">
        <v>283</v>
      </c>
      <c r="C1395" s="2" t="str">
        <f>HYPERLINK("http://snap.windin.com/ns/bulletin.php?id=2109245&amp;type=1", "北玻股份:首次公开发行股票招股说明书")</f>
        <v>北玻股份:首次公开发行股票招股说明书</v>
      </c>
    </row>
    <row r="1396" spans="1:3" x14ac:dyDescent="0.15">
      <c r="A1396" s="1">
        <v>40777</v>
      </c>
      <c r="B1396" t="s">
        <v>283</v>
      </c>
      <c r="C1396" s="2" t="str">
        <f>HYPERLINK("http://snap.windin.com/ns/bulletin.php?id=1012548&amp;type=1", "北玻股份:首次公开发行股票招股说明书摘要")</f>
        <v>北玻股份:首次公开发行股票招股说明书摘要</v>
      </c>
    </row>
    <row r="1397" spans="1:3" x14ac:dyDescent="0.15">
      <c r="A1397" s="1">
        <v>40777</v>
      </c>
      <c r="B1397" t="s">
        <v>282</v>
      </c>
      <c r="C1397" s="2" t="str">
        <f>HYPERLINK("http://snap.windin.com/ns/bulletin.php?id=768710&amp;type=1", "新莱应材:首次公开发行股票并在创业板上市招股说明书")</f>
        <v>新莱应材:首次公开发行股票并在创业板上市招股说明书</v>
      </c>
    </row>
    <row r="1398" spans="1:3" x14ac:dyDescent="0.15">
      <c r="A1398" s="1">
        <v>40774</v>
      </c>
      <c r="B1398" t="s">
        <v>281</v>
      </c>
      <c r="C1398" s="2" t="str">
        <f>HYPERLINK("http://snap.windin.com/ns/bulletin.php?id=19405586&amp;type=1", "雅本化学:首次公开发行股票并在创业板上市招股意向书")</f>
        <v>雅本化学:首次公开发行股票并在创业板上市招股意向书</v>
      </c>
    </row>
    <row r="1399" spans="1:3" x14ac:dyDescent="0.15">
      <c r="A1399" s="1">
        <v>40774</v>
      </c>
      <c r="B1399" t="s">
        <v>281</v>
      </c>
      <c r="C1399" s="2" t="str">
        <f>HYPERLINK("http://snap.windin.com/ns/bulletin.php?id=1484036&amp;type=1", "雅本化学:首次公开发行股票并在创业板上市招股意向书")</f>
        <v>雅本化学:首次公开发行股票并在创业板上市招股意向书</v>
      </c>
    </row>
    <row r="1400" spans="1:3" x14ac:dyDescent="0.15">
      <c r="A1400" s="1">
        <v>40773</v>
      </c>
      <c r="B1400" t="s">
        <v>285</v>
      </c>
      <c r="C1400" s="2" t="str">
        <f>HYPERLINK("http://snap.windin.com/ns/bulletin.php?id=1999300&amp;type=1", "朗姿股份:首次公开发行股票招股说明书")</f>
        <v>朗姿股份:首次公开发行股票招股说明书</v>
      </c>
    </row>
    <row r="1401" spans="1:3" x14ac:dyDescent="0.15">
      <c r="A1401" s="1">
        <v>40773</v>
      </c>
      <c r="B1401" t="s">
        <v>287</v>
      </c>
      <c r="C1401" s="2" t="str">
        <f>HYPERLINK("http://snap.windin.com/ns/bulletin.php?id=1969779&amp;type=1", "仟源制药:首次公开发行股票并在创业板上市之上市公告书")</f>
        <v>仟源制药:首次公开发行股票并在创业板上市之上市公告书</v>
      </c>
    </row>
    <row r="1402" spans="1:3" x14ac:dyDescent="0.15">
      <c r="A1402" s="1">
        <v>40773</v>
      </c>
      <c r="B1402" t="s">
        <v>280</v>
      </c>
      <c r="C1402" s="2" t="str">
        <f>HYPERLINK("http://snap.windin.com/ns/bulletin.php?id=1958563&amp;type=1", "京运通:首次公开发行股票（A股）招股意向书附录一")</f>
        <v>京运通:首次公开发行股票（A股）招股意向书附录一</v>
      </c>
    </row>
    <row r="1403" spans="1:3" x14ac:dyDescent="0.15">
      <c r="A1403" s="1">
        <v>40773</v>
      </c>
      <c r="B1403" t="s">
        <v>288</v>
      </c>
      <c r="C1403" s="2" t="str">
        <f>HYPERLINK("http://snap.windin.com/ns/bulletin.php?id=1948283&amp;type=1", "常山药业:首次公开发行股票并在创业板上市公告书提示性公告")</f>
        <v>常山药业:首次公开发行股票并在创业板上市公告书提示性公告</v>
      </c>
    </row>
    <row r="1404" spans="1:3" x14ac:dyDescent="0.15">
      <c r="A1404" s="1">
        <v>40773</v>
      </c>
      <c r="B1404" t="s">
        <v>280</v>
      </c>
      <c r="C1404" s="2" t="str">
        <f>HYPERLINK("http://snap.windin.com/ns/bulletin.php?id=1802947&amp;type=1", "京运通:首次公开发行股票（A股）招股意向书附录二")</f>
        <v>京运通:首次公开发行股票（A股）招股意向书附录二</v>
      </c>
    </row>
    <row r="1405" spans="1:3" x14ac:dyDescent="0.15">
      <c r="A1405" s="1">
        <v>40773</v>
      </c>
      <c r="B1405" t="s">
        <v>280</v>
      </c>
      <c r="C1405" s="2" t="str">
        <f>HYPERLINK("http://snap.windin.com/ns/bulletin.php?id=1654071&amp;type=1", "京运通:首次公开发行股票（A股）招股意向书")</f>
        <v>京运通:首次公开发行股票（A股）招股意向书</v>
      </c>
    </row>
    <row r="1406" spans="1:3" x14ac:dyDescent="0.15">
      <c r="A1406" s="1">
        <v>40773</v>
      </c>
      <c r="B1406" t="s">
        <v>289</v>
      </c>
      <c r="C1406" s="2" t="str">
        <f>HYPERLINK("http://snap.windin.com/ns/bulletin.php?id=1484847&amp;type=1", "开山股份:首次公开发行股票并在创业板上市公告书")</f>
        <v>开山股份:首次公开发行股票并在创业板上市公告书</v>
      </c>
    </row>
    <row r="1407" spans="1:3" x14ac:dyDescent="0.15">
      <c r="A1407" s="1">
        <v>40773</v>
      </c>
      <c r="B1407" t="s">
        <v>285</v>
      </c>
      <c r="C1407" s="2" t="str">
        <f>HYPERLINK("http://snap.windin.com/ns/bulletin.php?id=1473471&amp;type=1", "朗姿股份:首次公开发行股票招股说明书摘要")</f>
        <v>朗姿股份:首次公开发行股票招股说明书摘要</v>
      </c>
    </row>
    <row r="1408" spans="1:3" x14ac:dyDescent="0.15">
      <c r="A1408" s="1">
        <v>40773</v>
      </c>
      <c r="B1408" t="s">
        <v>280</v>
      </c>
      <c r="C1408" s="2" t="str">
        <f>HYPERLINK("http://snap.windin.com/ns/bulletin.php?id=1454749&amp;type=1", "京运通:首次公开发行股票（A股）招股意向书摘要")</f>
        <v>京运通:首次公开发行股票（A股）招股意向书摘要</v>
      </c>
    </row>
    <row r="1409" spans="1:3" x14ac:dyDescent="0.15">
      <c r="A1409" s="1">
        <v>40773</v>
      </c>
      <c r="B1409" t="s">
        <v>289</v>
      </c>
      <c r="C1409" s="2" t="str">
        <f>HYPERLINK("http://snap.windin.com/ns/bulletin.php?id=1083088&amp;type=1", "开山股份:首次公开发行股票并在创业板上市上市公告书提示性公告")</f>
        <v>开山股份:首次公开发行股票并在创业板上市上市公告书提示性公告</v>
      </c>
    </row>
    <row r="1410" spans="1:3" x14ac:dyDescent="0.15">
      <c r="A1410" s="1">
        <v>40773</v>
      </c>
      <c r="B1410" t="s">
        <v>287</v>
      </c>
      <c r="C1410" s="2" t="str">
        <f>HYPERLINK("http://snap.windin.com/ns/bulletin.php?id=757834&amp;type=1", "仟源制药:首次公开发行股票并在创业板上市上市公告书提示性公告")</f>
        <v>仟源制药:首次公开发行股票并在创业板上市上市公告书提示性公告</v>
      </c>
    </row>
    <row r="1411" spans="1:3" x14ac:dyDescent="0.15">
      <c r="A1411" s="1">
        <v>40773</v>
      </c>
      <c r="B1411" t="s">
        <v>288</v>
      </c>
      <c r="C1411" s="2" t="str">
        <f>HYPERLINK("http://snap.windin.com/ns/bulletin.php?id=733466&amp;type=1", "常山药业:首次公开发行股票并在创业板上市公告书")</f>
        <v>常山药业:首次公开发行股票并在创业板上市公告书</v>
      </c>
    </row>
    <row r="1412" spans="1:3" x14ac:dyDescent="0.15">
      <c r="A1412" s="1">
        <v>40773</v>
      </c>
      <c r="B1412" t="s">
        <v>290</v>
      </c>
      <c r="C1412" s="2" t="str">
        <f>HYPERLINK("http://snap.windin.com/ns/bulletin.php?id=732563&amp;type=1", "星星科技:首次公开发行股票并在创业板上市上市公告书")</f>
        <v>星星科技:首次公开发行股票并在创业板上市上市公告书</v>
      </c>
    </row>
    <row r="1413" spans="1:3" x14ac:dyDescent="0.15">
      <c r="A1413" s="1">
        <v>40773</v>
      </c>
      <c r="B1413" t="s">
        <v>290</v>
      </c>
      <c r="C1413" s="2" t="str">
        <f>HYPERLINK("http://snap.windin.com/ns/bulletin.php?id=412735&amp;type=1", "星星科技:首次公开发行股票并在创业板上市上市公告书提示性公告")</f>
        <v>星星科技:首次公开发行股票并在创业板上市上市公告书提示性公告</v>
      </c>
    </row>
    <row r="1414" spans="1:3" x14ac:dyDescent="0.15">
      <c r="A1414" s="1">
        <v>40772</v>
      </c>
      <c r="B1414" t="s">
        <v>291</v>
      </c>
      <c r="C1414" s="2" t="str">
        <f>HYPERLINK("http://snap.windin.com/ns/bulletin.php?id=2016831&amp;type=1", "江河幕墙:首次公开发行A股股票上市公告书")</f>
        <v>江河幕墙:首次公开发行A股股票上市公告书</v>
      </c>
    </row>
    <row r="1415" spans="1:3" x14ac:dyDescent="0.15">
      <c r="A1415" s="1">
        <v>40772</v>
      </c>
      <c r="B1415" t="s">
        <v>292</v>
      </c>
      <c r="C1415" s="2" t="str">
        <f>HYPERLINK("http://snap.windin.com/ns/bulletin.php?id=1150762&amp;type=1", "金信诺:首次公开发行股票并在创业板上市上市公告书提示性公告")</f>
        <v>金信诺:首次公开发行股票并在创业板上市上市公告书提示性公告</v>
      </c>
    </row>
    <row r="1416" spans="1:3" x14ac:dyDescent="0.15">
      <c r="A1416" s="1">
        <v>40772</v>
      </c>
      <c r="B1416" t="s">
        <v>293</v>
      </c>
      <c r="C1416" s="2" t="str">
        <f>HYPERLINK("http://snap.windin.com/ns/bulletin.php?id=1142277&amp;type=1", "卫宁软件:首次公开发行股票并在创业板上市公告书提示性公告")</f>
        <v>卫宁软件:首次公开发行股票并在创业板上市公告书提示性公告</v>
      </c>
    </row>
    <row r="1417" spans="1:3" x14ac:dyDescent="0.15">
      <c r="A1417" s="1">
        <v>40772</v>
      </c>
      <c r="B1417" t="s">
        <v>284</v>
      </c>
      <c r="C1417" s="2" t="str">
        <f>HYPERLINK("http://snap.windin.com/ns/bulletin.php?id=834511&amp;type=1", "新天科技:首次公开发行股票并在创业板上市招股说明书")</f>
        <v>新天科技:首次公开发行股票并在创业板上市招股说明书</v>
      </c>
    </row>
    <row r="1418" spans="1:3" x14ac:dyDescent="0.15">
      <c r="A1418" s="1">
        <v>40772</v>
      </c>
      <c r="B1418" t="s">
        <v>291</v>
      </c>
      <c r="C1418" s="2" t="str">
        <f>HYPERLINK("http://snap.windin.com/ns/bulletin.php?id=504358&amp;type=1", "江河幕墙:首次公开发行A股股票招股说明书")</f>
        <v>江河幕墙:首次公开发行A股股票招股说明书</v>
      </c>
    </row>
    <row r="1419" spans="1:3" x14ac:dyDescent="0.15">
      <c r="A1419" s="1">
        <v>40772</v>
      </c>
      <c r="B1419" t="s">
        <v>293</v>
      </c>
      <c r="C1419" s="2" t="str">
        <f>HYPERLINK("http://snap.windin.com/ns/bulletin.php?id=479905&amp;type=1", "卫宁软件:首次公开发行股票并在创业板上市之上市公告书")</f>
        <v>卫宁软件:首次公开发行股票并在创业板上市之上市公告书</v>
      </c>
    </row>
    <row r="1420" spans="1:3" x14ac:dyDescent="0.15">
      <c r="A1420" s="1">
        <v>40772</v>
      </c>
      <c r="B1420" t="s">
        <v>292</v>
      </c>
      <c r="C1420" s="2" t="str">
        <f>HYPERLINK("http://snap.windin.com/ns/bulletin.php?id=192868&amp;type=1", "金信诺:首次公开发行股票并在创业板上市公告书")</f>
        <v>金信诺:首次公开发行股票并在创业板上市公告书</v>
      </c>
    </row>
    <row r="1421" spans="1:3" x14ac:dyDescent="0.15">
      <c r="A1421" s="1">
        <v>40771</v>
      </c>
      <c r="B1421" t="s">
        <v>271</v>
      </c>
      <c r="C1421" s="2" t="str">
        <f>HYPERLINK("http://snap.windin.com/ns/bulletin.php?id=1714058&amp;type=1", "东方精工:首次公开发行股票招股说明书摘要")</f>
        <v>东方精工:首次公开发行股票招股说明书摘要</v>
      </c>
    </row>
    <row r="1422" spans="1:3" x14ac:dyDescent="0.15">
      <c r="A1422" s="1">
        <v>40771</v>
      </c>
      <c r="B1422" t="s">
        <v>271</v>
      </c>
      <c r="C1422" s="2" t="str">
        <f>HYPERLINK("http://snap.windin.com/ns/bulletin.php?id=1574061&amp;type=1", "东方精工:首次公开发行股票招股说明书")</f>
        <v>东方精工:首次公开发行股票招股说明书</v>
      </c>
    </row>
    <row r="1423" spans="1:3" x14ac:dyDescent="0.15">
      <c r="A1423" s="1">
        <v>40771</v>
      </c>
      <c r="B1423" t="s">
        <v>286</v>
      </c>
      <c r="C1423" s="2" t="str">
        <f>HYPERLINK("http://snap.windin.com/ns/bulletin.php?id=1553493&amp;type=1", "精锻科技:首次公开发行股票并在创业板上市招股说明书")</f>
        <v>精锻科技:首次公开发行股票并在创业板上市招股说明书</v>
      </c>
    </row>
    <row r="1424" spans="1:3" x14ac:dyDescent="0.15">
      <c r="A1424" s="1">
        <v>40770</v>
      </c>
      <c r="B1424" t="s">
        <v>283</v>
      </c>
      <c r="C1424" s="2" t="str">
        <f>HYPERLINK("http://snap.windin.com/ns/bulletin.php?id=18642594&amp;type=1", "北玻股份:首次公开发行股票招股意向书")</f>
        <v>北玻股份:首次公开发行股票招股意向书</v>
      </c>
    </row>
    <row r="1425" spans="1:3" x14ac:dyDescent="0.15">
      <c r="A1425" s="1">
        <v>40770</v>
      </c>
      <c r="B1425" t="s">
        <v>283</v>
      </c>
      <c r="C1425" s="2" t="str">
        <f>HYPERLINK("http://snap.windin.com/ns/bulletin.php?id=1836843&amp;type=1", "北玻股份:首次公开发行股票招股意向书")</f>
        <v>北玻股份:首次公开发行股票招股意向书</v>
      </c>
    </row>
    <row r="1426" spans="1:3" x14ac:dyDescent="0.15">
      <c r="A1426" s="1">
        <v>40770</v>
      </c>
      <c r="B1426" t="s">
        <v>283</v>
      </c>
      <c r="C1426" s="2" t="str">
        <f>HYPERLINK("http://snap.windin.com/ns/bulletin.php?id=1588546&amp;type=1", "北玻股份:首次公开发行股票招股意向书摘要")</f>
        <v>北玻股份:首次公开发行股票招股意向书摘要</v>
      </c>
    </row>
    <row r="1427" spans="1:3" x14ac:dyDescent="0.15">
      <c r="A1427" s="1">
        <v>40770</v>
      </c>
      <c r="B1427" t="s">
        <v>294</v>
      </c>
      <c r="C1427" s="2" t="str">
        <f>HYPERLINK("http://snap.windin.com/ns/bulletin.php?id=713781&amp;type=1", "宁波建工:首次公开发行A股股票上市公告书")</f>
        <v>宁波建工:首次公开发行A股股票上市公告书</v>
      </c>
    </row>
    <row r="1428" spans="1:3" x14ac:dyDescent="0.15">
      <c r="A1428" s="1">
        <v>40770</v>
      </c>
      <c r="B1428" t="s">
        <v>294</v>
      </c>
      <c r="C1428" s="2" t="str">
        <f>HYPERLINK("http://snap.windin.com/ns/bulletin.php?id=541030&amp;type=1", "宁波建工:首次公开发行股票招股说明书")</f>
        <v>宁波建工:首次公开发行股票招股说明书</v>
      </c>
    </row>
    <row r="1429" spans="1:3" x14ac:dyDescent="0.15">
      <c r="A1429" s="1">
        <v>40767</v>
      </c>
      <c r="B1429" t="s">
        <v>282</v>
      </c>
      <c r="C1429" s="2" t="str">
        <f>HYPERLINK("http://snap.windin.com/ns/bulletin.php?id=18862768&amp;type=1", "新莱应材:首次公开发行股票并在创业板上市招股意向书")</f>
        <v>新莱应材:首次公开发行股票并在创业板上市招股意向书</v>
      </c>
    </row>
    <row r="1430" spans="1:3" x14ac:dyDescent="0.15">
      <c r="A1430" s="1">
        <v>40767</v>
      </c>
      <c r="B1430" t="s">
        <v>295</v>
      </c>
      <c r="C1430" s="2" t="str">
        <f>HYPERLINK("http://snap.windin.com/ns/bulletin.php?id=714899&amp;type=1", "捷顺科技:首次公开发行股票上市公告书")</f>
        <v>捷顺科技:首次公开发行股票上市公告书</v>
      </c>
    </row>
    <row r="1431" spans="1:3" x14ac:dyDescent="0.15">
      <c r="A1431" s="1">
        <v>40767</v>
      </c>
      <c r="B1431" t="s">
        <v>296</v>
      </c>
      <c r="C1431" s="2" t="str">
        <f>HYPERLINK("http://snap.windin.com/ns/bulletin.php?id=207086&amp;type=1", "爱康科技:首次公开发行股票上市公告书")</f>
        <v>爱康科技:首次公开发行股票上市公告书</v>
      </c>
    </row>
    <row r="1432" spans="1:3" x14ac:dyDescent="0.15">
      <c r="A1432" s="1">
        <v>40767</v>
      </c>
      <c r="B1432" t="s">
        <v>282</v>
      </c>
      <c r="C1432" s="2" t="str">
        <f>HYPERLINK("http://snap.windin.com/ns/bulletin.php?id=96084&amp;type=1", "新莱应材:首次公开发行股票并在创业板上市招股意向书")</f>
        <v>新莱应材:首次公开发行股票并在创业板上市招股意向书</v>
      </c>
    </row>
    <row r="1433" spans="1:3" x14ac:dyDescent="0.15">
      <c r="A1433" s="1">
        <v>40766</v>
      </c>
      <c r="B1433" t="s">
        <v>285</v>
      </c>
      <c r="C1433" s="2" t="str">
        <f>HYPERLINK("http://snap.windin.com/ns/bulletin.php?id=19375290&amp;type=1", "朗姿股份:首次公开发行股票招股意向书")</f>
        <v>朗姿股份:首次公开发行股票招股意向书</v>
      </c>
    </row>
    <row r="1434" spans="1:3" x14ac:dyDescent="0.15">
      <c r="A1434" s="1">
        <v>40766</v>
      </c>
      <c r="B1434" t="s">
        <v>297</v>
      </c>
      <c r="C1434" s="2" t="str">
        <f>HYPERLINK("http://snap.windin.com/ns/bulletin.php?id=1499455&amp;type=1", "旗滨集团:首次公开发行A股股票上市公告书")</f>
        <v>旗滨集团:首次公开发行A股股票上市公告书</v>
      </c>
    </row>
    <row r="1435" spans="1:3" x14ac:dyDescent="0.15">
      <c r="A1435" s="1">
        <v>40766</v>
      </c>
      <c r="B1435" t="s">
        <v>285</v>
      </c>
      <c r="C1435" s="2" t="str">
        <f>HYPERLINK("http://snap.windin.com/ns/bulletin.php?id=669958&amp;type=1", "朗姿股份:首次公开发行股票招股意向书摘要")</f>
        <v>朗姿股份:首次公开发行股票招股意向书摘要</v>
      </c>
    </row>
    <row r="1436" spans="1:3" x14ac:dyDescent="0.15">
      <c r="A1436" s="1">
        <v>40766</v>
      </c>
      <c r="B1436" t="s">
        <v>285</v>
      </c>
      <c r="C1436" s="2" t="str">
        <f>HYPERLINK("http://snap.windin.com/ns/bulletin.php?id=497868&amp;type=1", "朗姿股份:首次公开发行股票招股意向书")</f>
        <v>朗姿股份:首次公开发行股票招股意向书</v>
      </c>
    </row>
    <row r="1437" spans="1:3" x14ac:dyDescent="0.15">
      <c r="A1437" s="1">
        <v>40766</v>
      </c>
      <c r="B1437" t="s">
        <v>297</v>
      </c>
      <c r="C1437" s="2" t="str">
        <f>HYPERLINK("http://snap.windin.com/ns/bulletin.php?id=96903&amp;type=1", "旗滨集团:首次公开发行股票招股说明书")</f>
        <v>旗滨集团:首次公开发行股票招股说明书</v>
      </c>
    </row>
    <row r="1438" spans="1:3" x14ac:dyDescent="0.15">
      <c r="A1438" s="1">
        <v>40764</v>
      </c>
      <c r="B1438" t="s">
        <v>298</v>
      </c>
      <c r="C1438" s="2" t="str">
        <f>HYPERLINK("http://snap.windin.com/ns/bulletin.php?id=1300533&amp;type=1", "舜天船舶:首次公开发行股票上市公告书")</f>
        <v>舜天船舶:首次公开发行股票上市公告书</v>
      </c>
    </row>
    <row r="1439" spans="1:3" x14ac:dyDescent="0.15">
      <c r="A1439" s="1">
        <v>40764</v>
      </c>
      <c r="B1439" t="s">
        <v>299</v>
      </c>
      <c r="C1439" s="2" t="str">
        <f>HYPERLINK("http://snap.windin.com/ns/bulletin.php?id=1060328&amp;type=1", "方正证券:首次公开发行A股股票招股说明书")</f>
        <v>方正证券:首次公开发行A股股票招股说明书</v>
      </c>
    </row>
    <row r="1440" spans="1:3" x14ac:dyDescent="0.15">
      <c r="A1440" s="1">
        <v>40764</v>
      </c>
      <c r="B1440" t="s">
        <v>300</v>
      </c>
      <c r="C1440" s="2" t="str">
        <f>HYPERLINK("http://snap.windin.com/ns/bulletin.php?id=1044488&amp;type=1", "亚夏汽车:首次公开发行股票上市公告书")</f>
        <v>亚夏汽车:首次公开发行股票上市公告书</v>
      </c>
    </row>
    <row r="1441" spans="1:3" x14ac:dyDescent="0.15">
      <c r="A1441" s="1">
        <v>40764</v>
      </c>
      <c r="B1441" t="s">
        <v>299</v>
      </c>
      <c r="C1441" s="2" t="str">
        <f>HYPERLINK("http://snap.windin.com/ns/bulletin.php?id=486071&amp;type=1", "方正证券:首次公开发行A股股票上市公告书")</f>
        <v>方正证券:首次公开发行A股股票上市公告书</v>
      </c>
    </row>
    <row r="1442" spans="1:3" x14ac:dyDescent="0.15">
      <c r="A1442" s="1">
        <v>40763</v>
      </c>
      <c r="B1442" t="s">
        <v>289</v>
      </c>
      <c r="C1442" s="2" t="str">
        <f>HYPERLINK("http://snap.windin.com/ns/bulletin.php?id=1273270&amp;type=1", "开山股份:首次公开发行股票并在创业板上市招股说明书")</f>
        <v>开山股份:首次公开发行股票并在创业板上市招股说明书</v>
      </c>
    </row>
    <row r="1443" spans="1:3" x14ac:dyDescent="0.15">
      <c r="A1443" s="1">
        <v>40760</v>
      </c>
      <c r="B1443" t="s">
        <v>271</v>
      </c>
      <c r="C1443" s="2" t="str">
        <f>HYPERLINK("http://snap.windin.com/ns/bulletin.php?id=1884331&amp;type=1", "东方精工:首次公开发行股票招股意向书")</f>
        <v>东方精工:首次公开发行股票招股意向书</v>
      </c>
    </row>
    <row r="1444" spans="1:3" x14ac:dyDescent="0.15">
      <c r="A1444" s="1">
        <v>40760</v>
      </c>
      <c r="B1444" t="s">
        <v>271</v>
      </c>
      <c r="C1444" s="2" t="str">
        <f>HYPERLINK("http://snap.windin.com/ns/bulletin.php?id=1268789&amp;type=1", "东方精工:首次公开发行股票招股意向书摘要")</f>
        <v>东方精工:首次公开发行股票招股意向书摘要</v>
      </c>
    </row>
    <row r="1445" spans="1:3" x14ac:dyDescent="0.15">
      <c r="A1445" s="1">
        <v>40760</v>
      </c>
      <c r="B1445" t="s">
        <v>287</v>
      </c>
      <c r="C1445" s="2" t="str">
        <f>HYPERLINK("http://snap.windin.com/ns/bulletin.php?id=1140891&amp;type=1", "仟源制药:首次公开发行股票并在创业板上市招股说明书")</f>
        <v>仟源制药:首次公开发行股票并在创业板上市招股说明书</v>
      </c>
    </row>
    <row r="1446" spans="1:3" x14ac:dyDescent="0.15">
      <c r="A1446" s="1">
        <v>40760</v>
      </c>
      <c r="B1446" t="s">
        <v>286</v>
      </c>
      <c r="C1446" s="2" t="str">
        <f>HYPERLINK("http://snap.windin.com/ns/bulletin.php?id=929637&amp;type=1", "精锻科技:首次公开发行股票并在创业板上市招股意向书")</f>
        <v>精锻科技:首次公开发行股票并在创业板上市招股意向书</v>
      </c>
    </row>
    <row r="1447" spans="1:3" x14ac:dyDescent="0.15">
      <c r="A1447" s="1">
        <v>40760</v>
      </c>
      <c r="B1447" t="s">
        <v>288</v>
      </c>
      <c r="C1447" s="2" t="str">
        <f>HYPERLINK("http://snap.windin.com/ns/bulletin.php?id=850186&amp;type=1", "常山药业:首次公开发行股票并在创业板上市招股说明书")</f>
        <v>常山药业:首次公开发行股票并在创业板上市招股说明书</v>
      </c>
    </row>
    <row r="1448" spans="1:3" x14ac:dyDescent="0.15">
      <c r="A1448" s="1">
        <v>40760</v>
      </c>
      <c r="B1448" t="s">
        <v>284</v>
      </c>
      <c r="C1448" s="2" t="str">
        <f>HYPERLINK("http://snap.windin.com/ns/bulletin.php?id=605341&amp;type=1", "新天科技:首次公开发行股票并在创业板上市招股意向书")</f>
        <v>新天科技:首次公开发行股票并在创业板上市招股意向书</v>
      </c>
    </row>
    <row r="1449" spans="1:3" x14ac:dyDescent="0.15">
      <c r="A1449" s="1">
        <v>40760</v>
      </c>
      <c r="B1449" t="s">
        <v>301</v>
      </c>
      <c r="C1449" s="2" t="str">
        <f>HYPERLINK("http://snap.windin.com/ns/bulletin.php?id=572488&amp;type=1", "林洋电子:首次公开发行A股股票上市公告书")</f>
        <v>林洋电子:首次公开发行A股股票上市公告书</v>
      </c>
    </row>
    <row r="1450" spans="1:3" x14ac:dyDescent="0.15">
      <c r="A1450" s="1">
        <v>40760</v>
      </c>
      <c r="B1450" t="s">
        <v>290</v>
      </c>
      <c r="C1450" s="2" t="str">
        <f>HYPERLINK("http://snap.windin.com/ns/bulletin.php?id=488897&amp;type=1", "星星科技:首次公开发行股票并在创业板上市招股说明书")</f>
        <v>星星科技:首次公开发行股票并在创业板上市招股说明书</v>
      </c>
    </row>
    <row r="1451" spans="1:3" x14ac:dyDescent="0.15">
      <c r="A1451" s="1">
        <v>40760</v>
      </c>
      <c r="B1451" t="s">
        <v>301</v>
      </c>
      <c r="C1451" s="2" t="str">
        <f>HYPERLINK("http://snap.windin.com/ns/bulletin.php?id=202751&amp;type=1", "林洋电子:首次公开发行股票招股说明书")</f>
        <v>林洋电子:首次公开发行股票招股说明书</v>
      </c>
    </row>
    <row r="1452" spans="1:3" x14ac:dyDescent="0.15">
      <c r="A1452" s="1">
        <v>40759</v>
      </c>
      <c r="B1452" t="s">
        <v>302</v>
      </c>
      <c r="C1452" s="2" t="str">
        <f>HYPERLINK("http://snap.windin.com/ns/bulletin.php?id=2102786&amp;type=1", "姚记扑克:首次公开发行股票上市公告书")</f>
        <v>姚记扑克:首次公开发行股票上市公告书</v>
      </c>
    </row>
    <row r="1453" spans="1:3" x14ac:dyDescent="0.15">
      <c r="A1453" s="1">
        <v>40759</v>
      </c>
      <c r="B1453" t="s">
        <v>293</v>
      </c>
      <c r="C1453" s="2" t="str">
        <f>HYPERLINK("http://snap.windin.com/ns/bulletin.php?id=1001075&amp;type=1", "卫宁软件:首次公开发行股票并在创业板上市招股说明书")</f>
        <v>卫宁软件:首次公开发行股票并在创业板上市招股说明书</v>
      </c>
    </row>
    <row r="1454" spans="1:3" x14ac:dyDescent="0.15">
      <c r="A1454" s="1">
        <v>40759</v>
      </c>
      <c r="B1454" t="s">
        <v>303</v>
      </c>
      <c r="C1454" s="2" t="str">
        <f>HYPERLINK("http://snap.windin.com/ns/bulletin.php?id=120708&amp;type=1", "大连电瓷:首次公开发行股票上市公告书")</f>
        <v>大连电瓷:首次公开发行股票上市公告书</v>
      </c>
    </row>
    <row r="1455" spans="1:3" x14ac:dyDescent="0.15">
      <c r="A1455" s="1">
        <v>40757</v>
      </c>
      <c r="B1455" t="s">
        <v>296</v>
      </c>
      <c r="C1455" s="2" t="str">
        <f>HYPERLINK("http://snap.windin.com/ns/bulletin.php?id=2058050&amp;type=1", "爱康科技:首次公开发行股票招股说明书")</f>
        <v>爱康科技:首次公开发行股票招股说明书</v>
      </c>
    </row>
    <row r="1456" spans="1:3" x14ac:dyDescent="0.15">
      <c r="A1456" s="1">
        <v>40757</v>
      </c>
      <c r="B1456" t="s">
        <v>304</v>
      </c>
      <c r="C1456" s="2" t="str">
        <f>HYPERLINK("http://snap.windin.com/ns/bulletin.php?id=1869753&amp;type=1", "初灵信息:首次公开发行股票并在创业板上市上市公告书提示性公告")</f>
        <v>初灵信息:首次公开发行股票并在创业板上市上市公告书提示性公告</v>
      </c>
    </row>
    <row r="1457" spans="1:3" x14ac:dyDescent="0.15">
      <c r="A1457" s="1">
        <v>40757</v>
      </c>
      <c r="B1457" t="s">
        <v>305</v>
      </c>
      <c r="C1457" s="2" t="str">
        <f>HYPERLINK("http://snap.windin.com/ns/bulletin.php?id=1845971&amp;type=1", "依米康:首次公开发行股票并在创业板上市上市公告书提示性公告")</f>
        <v>依米康:首次公开发行股票并在创业板上市上市公告书提示性公告</v>
      </c>
    </row>
    <row r="1458" spans="1:3" x14ac:dyDescent="0.15">
      <c r="A1458" s="1">
        <v>40757</v>
      </c>
      <c r="B1458" t="s">
        <v>295</v>
      </c>
      <c r="C1458" s="2" t="str">
        <f>HYPERLINK("http://snap.windin.com/ns/bulletin.php?id=1715272&amp;type=1", "捷顺科技:首次公开发行股票招股说明书")</f>
        <v>捷顺科技:首次公开发行股票招股说明书</v>
      </c>
    </row>
    <row r="1459" spans="1:3" x14ac:dyDescent="0.15">
      <c r="A1459" s="1">
        <v>40757</v>
      </c>
      <c r="B1459" t="s">
        <v>306</v>
      </c>
      <c r="C1459" s="2" t="str">
        <f>HYPERLINK("http://snap.windin.com/ns/bulletin.php?id=1276011&amp;type=1", "光线传媒:首次公开发行股票并在创业板上市公告书")</f>
        <v>光线传媒:首次公开发行股票并在创业板上市公告书</v>
      </c>
    </row>
    <row r="1460" spans="1:3" x14ac:dyDescent="0.15">
      <c r="A1460" s="1">
        <v>40757</v>
      </c>
      <c r="B1460" t="s">
        <v>296</v>
      </c>
      <c r="C1460" s="2" t="str">
        <f>HYPERLINK("http://snap.windin.com/ns/bulletin.php?id=1056485&amp;type=1", "爱康科技:首次公开发行股票招股说明书摘要")</f>
        <v>爱康科技:首次公开发行股票招股说明书摘要</v>
      </c>
    </row>
    <row r="1461" spans="1:3" x14ac:dyDescent="0.15">
      <c r="A1461" s="1">
        <v>40757</v>
      </c>
      <c r="B1461" t="s">
        <v>295</v>
      </c>
      <c r="C1461" s="2" t="str">
        <f>HYPERLINK("http://snap.windin.com/ns/bulletin.php?id=597191&amp;type=1", "捷顺科技:首次公开发行股票招股说明书摘要")</f>
        <v>捷顺科技:首次公开发行股票招股说明书摘要</v>
      </c>
    </row>
    <row r="1462" spans="1:3" x14ac:dyDescent="0.15">
      <c r="A1462" s="1">
        <v>40757</v>
      </c>
      <c r="B1462" t="s">
        <v>305</v>
      </c>
      <c r="C1462" s="2" t="str">
        <f>HYPERLINK("http://snap.windin.com/ns/bulletin.php?id=479801&amp;type=1", "依米康:首次公开发行股票并在创业板上市之上市公告书")</f>
        <v>依米康:首次公开发行股票并在创业板上市之上市公告书</v>
      </c>
    </row>
    <row r="1463" spans="1:3" x14ac:dyDescent="0.15">
      <c r="A1463" s="1">
        <v>40757</v>
      </c>
      <c r="B1463" t="s">
        <v>306</v>
      </c>
      <c r="C1463" s="2" t="str">
        <f>HYPERLINK("http://snap.windin.com/ns/bulletin.php?id=459752&amp;type=1", "光线传媒:首次公开发行股票并在创业板上市上市公告书提示性公告")</f>
        <v>光线传媒:首次公开发行股票并在创业板上市上市公告书提示性公告</v>
      </c>
    </row>
    <row r="1464" spans="1:3" x14ac:dyDescent="0.15">
      <c r="A1464" s="1">
        <v>40757</v>
      </c>
      <c r="B1464" t="s">
        <v>304</v>
      </c>
      <c r="C1464" s="2" t="str">
        <f>HYPERLINK("http://snap.windin.com/ns/bulletin.php?id=103760&amp;type=1", "初灵信息:首次公开发行股票并在创业板上市上市公告书")</f>
        <v>初灵信息:首次公开发行股票并在创业板上市上市公告书</v>
      </c>
    </row>
    <row r="1465" spans="1:3" x14ac:dyDescent="0.15">
      <c r="A1465" s="1">
        <v>40756</v>
      </c>
      <c r="B1465" t="s">
        <v>298</v>
      </c>
      <c r="C1465" s="2" t="str">
        <f>HYPERLINK("http://snap.windin.com/ns/bulletin.php?id=414930&amp;type=1", "舜天船舶:首次公开发行股票招股说明书摘要")</f>
        <v>舜天船舶:首次公开发行股票招股说明书摘要</v>
      </c>
    </row>
    <row r="1466" spans="1:3" x14ac:dyDescent="0.15">
      <c r="A1466" s="1">
        <v>40756</v>
      </c>
      <c r="B1466" t="s">
        <v>298</v>
      </c>
      <c r="C1466" s="2" t="str">
        <f>HYPERLINK("http://snap.windin.com/ns/bulletin.php?id=181049&amp;type=1", "舜天船舶:首次公开发行股票招股说明书")</f>
        <v>舜天船舶:首次公开发行股票招股说明书</v>
      </c>
    </row>
    <row r="1467" spans="1:3" x14ac:dyDescent="0.15">
      <c r="A1467" s="1">
        <v>40753</v>
      </c>
      <c r="B1467" t="s">
        <v>290</v>
      </c>
      <c r="C1467" s="2" t="str">
        <f>HYPERLINK("http://snap.windin.com/ns/bulletin.php?id=19289808&amp;type=1", "星星科技:首次公开发行股票并在创业板上市招股意向书")</f>
        <v>星星科技:首次公开发行股票并在创业板上市招股意向书</v>
      </c>
    </row>
    <row r="1468" spans="1:3" x14ac:dyDescent="0.15">
      <c r="A1468" s="1">
        <v>40753</v>
      </c>
      <c r="B1468" t="s">
        <v>288</v>
      </c>
      <c r="C1468" s="2" t="str">
        <f>HYPERLINK("http://snap.windin.com/ns/bulletin.php?id=18594632&amp;type=1", "常山药业:首次公开发行股票并在创业板上市招股意向书")</f>
        <v>常山药业:首次公开发行股票并在创业板上市招股意向书</v>
      </c>
    </row>
    <row r="1469" spans="1:3" x14ac:dyDescent="0.15">
      <c r="A1469" s="1">
        <v>40753</v>
      </c>
      <c r="B1469" t="s">
        <v>289</v>
      </c>
      <c r="C1469" s="2" t="str">
        <f>HYPERLINK("http://snap.windin.com/ns/bulletin.php?id=18569520&amp;type=1", "开山股份:首次公开发行股票并在创业板上市招股意向书")</f>
        <v>开山股份:首次公开发行股票并在创业板上市招股意向书</v>
      </c>
    </row>
    <row r="1470" spans="1:3" x14ac:dyDescent="0.15">
      <c r="A1470" s="1">
        <v>40753</v>
      </c>
      <c r="B1470" t="s">
        <v>289</v>
      </c>
      <c r="C1470" s="2" t="str">
        <f>HYPERLINK("http://snap.windin.com/ns/bulletin.php?id=18553784&amp;type=1", "开山股份:首次公开发行股票并在创业板上市招股意向书")</f>
        <v>开山股份:首次公开发行股票并在创业板上市招股意向书</v>
      </c>
    </row>
    <row r="1471" spans="1:3" x14ac:dyDescent="0.15">
      <c r="A1471" s="1">
        <v>40753</v>
      </c>
      <c r="B1471" t="s">
        <v>287</v>
      </c>
      <c r="C1471" s="2" t="str">
        <f>HYPERLINK("http://snap.windin.com/ns/bulletin.php?id=18546682&amp;type=1", "仟源制药:首次公开发行股票并在创业板上市招股意向书")</f>
        <v>仟源制药:首次公开发行股票并在创业板上市招股意向书</v>
      </c>
    </row>
    <row r="1472" spans="1:3" x14ac:dyDescent="0.15">
      <c r="A1472" s="1">
        <v>40753</v>
      </c>
      <c r="B1472" t="s">
        <v>289</v>
      </c>
      <c r="C1472" s="2" t="str">
        <f>HYPERLINK("http://snap.windin.com/ns/bulletin.php?id=2019206&amp;type=1", "开山股份:首次公开发行股票并在创业板上市招股意向书")</f>
        <v>开山股份:首次公开发行股票并在创业板上市招股意向书</v>
      </c>
    </row>
    <row r="1473" spans="1:3" x14ac:dyDescent="0.15">
      <c r="A1473" s="1">
        <v>40753</v>
      </c>
      <c r="B1473" t="s">
        <v>288</v>
      </c>
      <c r="C1473" s="2" t="str">
        <f>HYPERLINK("http://snap.windin.com/ns/bulletin.php?id=1418790&amp;type=1", "常山药业:首次公开发行股票并在创业板上市招股意向书")</f>
        <v>常山药业:首次公开发行股票并在创业板上市招股意向书</v>
      </c>
    </row>
    <row r="1474" spans="1:3" x14ac:dyDescent="0.15">
      <c r="A1474" s="1">
        <v>40753</v>
      </c>
      <c r="B1474" t="s">
        <v>292</v>
      </c>
      <c r="C1474" s="2" t="str">
        <f>HYPERLINK("http://snap.windin.com/ns/bulletin.php?id=1210201&amp;type=1", "金信诺:首次公开发行股票并在创业板上市招股说明书")</f>
        <v>金信诺:首次公开发行股票并在创业板上市招股说明书</v>
      </c>
    </row>
    <row r="1475" spans="1:3" x14ac:dyDescent="0.15">
      <c r="A1475" s="1">
        <v>40753</v>
      </c>
      <c r="B1475" t="s">
        <v>287</v>
      </c>
      <c r="C1475" s="2" t="str">
        <f>HYPERLINK("http://snap.windin.com/ns/bulletin.php?id=846483&amp;type=1", "仟源制药:首次公开发行股票并在创业板上市招股意向书")</f>
        <v>仟源制药:首次公开发行股票并在创业板上市招股意向书</v>
      </c>
    </row>
    <row r="1476" spans="1:3" x14ac:dyDescent="0.15">
      <c r="A1476" s="1">
        <v>40753</v>
      </c>
      <c r="B1476" t="s">
        <v>290</v>
      </c>
      <c r="C1476" s="2" t="str">
        <f>HYPERLINK("http://snap.windin.com/ns/bulletin.php?id=585067&amp;type=1", "星星科技:首次公开发行股票并在创业板上市招股意向书")</f>
        <v>星星科技:首次公开发行股票并在创业板上市招股意向书</v>
      </c>
    </row>
    <row r="1477" spans="1:3" x14ac:dyDescent="0.15">
      <c r="A1477" s="1">
        <v>40752</v>
      </c>
      <c r="B1477" t="s">
        <v>307</v>
      </c>
      <c r="C1477" s="2" t="str">
        <f>HYPERLINK("http://snap.windin.com/ns/bulletin.php?id=2123644&amp;type=1", "桑乐金:首次公开发行股票并在创业板上市公告书")</f>
        <v>桑乐金:首次公开发行股票并在创业板上市公告书</v>
      </c>
    </row>
    <row r="1478" spans="1:3" x14ac:dyDescent="0.15">
      <c r="A1478" s="1">
        <v>40752</v>
      </c>
      <c r="B1478" t="s">
        <v>291</v>
      </c>
      <c r="C1478" s="2" t="str">
        <f>HYPERLINK("http://snap.windin.com/ns/bulletin.php?id=1812628&amp;type=1", "江河幕墙:首次公开发行股票招股意向书附录一")</f>
        <v>江河幕墙:首次公开发行股票招股意向书附录一</v>
      </c>
    </row>
    <row r="1479" spans="1:3" x14ac:dyDescent="0.15">
      <c r="A1479" s="1">
        <v>40752</v>
      </c>
      <c r="B1479" t="s">
        <v>291</v>
      </c>
      <c r="C1479" s="2" t="str">
        <f>HYPERLINK("http://snap.windin.com/ns/bulletin.php?id=1719973&amp;type=1", "江河幕墙:首次公开发行股票招股意向书附录二")</f>
        <v>江河幕墙:首次公开发行股票招股意向书附录二</v>
      </c>
    </row>
    <row r="1480" spans="1:3" x14ac:dyDescent="0.15">
      <c r="A1480" s="1">
        <v>40752</v>
      </c>
      <c r="B1480" t="s">
        <v>291</v>
      </c>
      <c r="C1480" s="2" t="str">
        <f>HYPERLINK("http://snap.windin.com/ns/bulletin.php?id=1431168&amp;type=1", "江河幕墙:首次公开发行股票招股意向书附录四")</f>
        <v>江河幕墙:首次公开发行股票招股意向书附录四</v>
      </c>
    </row>
    <row r="1481" spans="1:3" x14ac:dyDescent="0.15">
      <c r="A1481" s="1">
        <v>40752</v>
      </c>
      <c r="B1481" t="s">
        <v>291</v>
      </c>
      <c r="C1481" s="2" t="str">
        <f>HYPERLINK("http://snap.windin.com/ns/bulletin.php?id=1320470&amp;type=1", "江河幕墙:首次公开发行A股股票招股意向书摘要")</f>
        <v>江河幕墙:首次公开发行A股股票招股意向书摘要</v>
      </c>
    </row>
    <row r="1482" spans="1:3" x14ac:dyDescent="0.15">
      <c r="A1482" s="1">
        <v>40752</v>
      </c>
      <c r="B1482" t="s">
        <v>308</v>
      </c>
      <c r="C1482" s="2" t="str">
        <f>HYPERLINK("http://snap.windin.com/ns/bulletin.php?id=1301296&amp;type=1", "新开普:首次公开发行股票并在创业板上市公告书提示性公告")</f>
        <v>新开普:首次公开发行股票并在创业板上市公告书提示性公告</v>
      </c>
    </row>
    <row r="1483" spans="1:3" x14ac:dyDescent="0.15">
      <c r="A1483" s="1">
        <v>40752</v>
      </c>
      <c r="B1483" t="s">
        <v>291</v>
      </c>
      <c r="C1483" s="2" t="str">
        <f>HYPERLINK("http://snap.windin.com/ns/bulletin.php?id=1154885&amp;type=1", "江河幕墙:首次公开发行股票招股意向书附录三")</f>
        <v>江河幕墙:首次公开发行股票招股意向书附录三</v>
      </c>
    </row>
    <row r="1484" spans="1:3" x14ac:dyDescent="0.15">
      <c r="A1484" s="1">
        <v>40752</v>
      </c>
      <c r="B1484" t="s">
        <v>308</v>
      </c>
      <c r="C1484" s="2" t="str">
        <f>HYPERLINK("http://snap.windin.com/ns/bulletin.php?id=1136947&amp;type=1", "新开普:首次公开发行股票并在创业板上市之上市公告书")</f>
        <v>新开普:首次公开发行股票并在创业板上市之上市公告书</v>
      </c>
    </row>
    <row r="1485" spans="1:3" x14ac:dyDescent="0.15">
      <c r="A1485" s="1">
        <v>40752</v>
      </c>
      <c r="B1485" t="s">
        <v>300</v>
      </c>
      <c r="C1485" s="2" t="str">
        <f>HYPERLINK("http://snap.windin.com/ns/bulletin.php?id=1136036&amp;type=1", "亚夏汽车:首次公开发行股票招股说明书摘要")</f>
        <v>亚夏汽车:首次公开发行股票招股说明书摘要</v>
      </c>
    </row>
    <row r="1486" spans="1:3" x14ac:dyDescent="0.15">
      <c r="A1486" s="1">
        <v>40752</v>
      </c>
      <c r="B1486" t="s">
        <v>291</v>
      </c>
      <c r="C1486" s="2" t="str">
        <f>HYPERLINK("http://snap.windin.com/ns/bulletin.php?id=579993&amp;type=1", "江河幕墙:首次公开发行A股股票招股意向书")</f>
        <v>江河幕墙:首次公开发行A股股票招股意向书</v>
      </c>
    </row>
    <row r="1487" spans="1:3" x14ac:dyDescent="0.15">
      <c r="A1487" s="1">
        <v>40752</v>
      </c>
      <c r="B1487" t="s">
        <v>300</v>
      </c>
      <c r="C1487" s="2" t="str">
        <f>HYPERLINK("http://snap.windin.com/ns/bulletin.php?id=488527&amp;type=1", "亚夏汽车:首次公开发行股票招股说明书")</f>
        <v>亚夏汽车:首次公开发行股票招股说明书</v>
      </c>
    </row>
    <row r="1488" spans="1:3" x14ac:dyDescent="0.15">
      <c r="A1488" s="1">
        <v>40752</v>
      </c>
      <c r="B1488" t="s">
        <v>307</v>
      </c>
      <c r="C1488" s="2" t="str">
        <f>HYPERLINK("http://snap.windin.com/ns/bulletin.php?id=149384&amp;type=1", "桑乐金:首次公开发行股票并在创业板上市公告书提示性公告")</f>
        <v>桑乐金:首次公开发行股票并在创业板上市公告书提示性公告</v>
      </c>
    </row>
    <row r="1489" spans="1:3" x14ac:dyDescent="0.15">
      <c r="A1489" s="1">
        <v>40751</v>
      </c>
      <c r="B1489" t="s">
        <v>293</v>
      </c>
      <c r="C1489" s="2" t="str">
        <f>HYPERLINK("http://snap.windin.com/ns/bulletin.php?id=18807672&amp;type=1", "卫宁软件:首次公开发行股票并在创业板上市招股意向书")</f>
        <v>卫宁软件:首次公开发行股票并在创业板上市招股意向书</v>
      </c>
    </row>
    <row r="1490" spans="1:3" x14ac:dyDescent="0.15">
      <c r="A1490" s="1">
        <v>40751</v>
      </c>
      <c r="B1490" t="s">
        <v>303</v>
      </c>
      <c r="C1490" s="2" t="str">
        <f>HYPERLINK("http://snap.windin.com/ns/bulletin.php?id=2113685&amp;type=1", "大连电瓷:首次公开发行股票招股说明书")</f>
        <v>大连电瓷:首次公开发行股票招股说明书</v>
      </c>
    </row>
    <row r="1491" spans="1:3" x14ac:dyDescent="0.15">
      <c r="A1491" s="1">
        <v>40751</v>
      </c>
      <c r="B1491" t="s">
        <v>309</v>
      </c>
      <c r="C1491" s="2" t="str">
        <f>HYPERLINK("http://snap.windin.com/ns/bulletin.php?id=1865842&amp;type=1", "以岭药业:首次公开发行股票上市公告书")</f>
        <v>以岭药业:首次公开发行股票上市公告书</v>
      </c>
    </row>
    <row r="1492" spans="1:3" x14ac:dyDescent="0.15">
      <c r="A1492" s="1">
        <v>40751</v>
      </c>
      <c r="B1492" t="s">
        <v>310</v>
      </c>
      <c r="C1492" s="2" t="str">
        <f>HYPERLINK("http://snap.windin.com/ns/bulletin.php?id=1818716&amp;type=1", "世纪华通:首次公开发行股票上市公告书")</f>
        <v>世纪华通:首次公开发行股票上市公告书</v>
      </c>
    </row>
    <row r="1493" spans="1:3" x14ac:dyDescent="0.15">
      <c r="A1493" s="1">
        <v>40751</v>
      </c>
      <c r="B1493" t="s">
        <v>294</v>
      </c>
      <c r="C1493" s="2" t="str">
        <f>HYPERLINK("http://snap.windin.com/ns/bulletin.php?id=1693119&amp;type=1", "宁波建工:首次公开发行A股招股意向书附录一")</f>
        <v>宁波建工:首次公开发行A股招股意向书附录一</v>
      </c>
    </row>
    <row r="1494" spans="1:3" x14ac:dyDescent="0.15">
      <c r="A1494" s="1">
        <v>40751</v>
      </c>
      <c r="B1494" t="s">
        <v>311</v>
      </c>
      <c r="C1494" s="2" t="str">
        <f>HYPERLINK("http://snap.windin.com/ns/bulletin.php?id=1658817&amp;type=1", "龙力生物:首次公开发行股票上市公告书")</f>
        <v>龙力生物:首次公开发行股票上市公告书</v>
      </c>
    </row>
    <row r="1495" spans="1:3" x14ac:dyDescent="0.15">
      <c r="A1495" s="1">
        <v>40751</v>
      </c>
      <c r="B1495" t="s">
        <v>294</v>
      </c>
      <c r="C1495" s="2" t="str">
        <f>HYPERLINK("http://snap.windin.com/ns/bulletin.php?id=1390923&amp;type=1", "宁波建工:首次公开发行A股招股意向书附录二")</f>
        <v>宁波建工:首次公开发行A股招股意向书附录二</v>
      </c>
    </row>
    <row r="1496" spans="1:3" x14ac:dyDescent="0.15">
      <c r="A1496" s="1">
        <v>40751</v>
      </c>
      <c r="B1496" t="s">
        <v>293</v>
      </c>
      <c r="C1496" s="2" t="str">
        <f>HYPERLINK("http://snap.windin.com/ns/bulletin.php?id=962103&amp;type=1", "卫宁软件:首次公开发行股票并在创业板上市招股意向书")</f>
        <v>卫宁软件:首次公开发行股票并在创业板上市招股意向书</v>
      </c>
    </row>
    <row r="1497" spans="1:3" x14ac:dyDescent="0.15">
      <c r="A1497" s="1">
        <v>40751</v>
      </c>
      <c r="B1497" t="s">
        <v>294</v>
      </c>
      <c r="C1497" s="2" t="str">
        <f>HYPERLINK("http://snap.windin.com/ns/bulletin.php?id=658459&amp;type=1", "宁波建工:首次公开发行股票招股意向书")</f>
        <v>宁波建工:首次公开发行股票招股意向书</v>
      </c>
    </row>
    <row r="1498" spans="1:3" x14ac:dyDescent="0.15">
      <c r="A1498" s="1">
        <v>40751</v>
      </c>
      <c r="B1498" t="s">
        <v>303</v>
      </c>
      <c r="C1498" s="2" t="str">
        <f>HYPERLINK("http://snap.windin.com/ns/bulletin.php?id=463564&amp;type=1", "大连电瓷:首次公开发行股票招股说明书摘要")</f>
        <v>大连电瓷:首次公开发行股票招股说明书摘要</v>
      </c>
    </row>
    <row r="1499" spans="1:3" x14ac:dyDescent="0.15">
      <c r="A1499" s="1">
        <v>40751</v>
      </c>
      <c r="B1499" t="s">
        <v>294</v>
      </c>
      <c r="C1499" s="2" t="str">
        <f>HYPERLINK("http://snap.windin.com/ns/bulletin.php?id=436663&amp;type=1", "宁波建工:首次公开发行股票招股意向书摘要")</f>
        <v>宁波建工:首次公开发行股票招股意向书摘要</v>
      </c>
    </row>
    <row r="1500" spans="1:3" x14ac:dyDescent="0.15">
      <c r="A1500" s="1">
        <v>40751</v>
      </c>
      <c r="B1500" t="s">
        <v>294</v>
      </c>
      <c r="C1500" s="2" t="str">
        <f>HYPERLINK("http://snap.windin.com/ns/bulletin.php?id=139219&amp;type=1", "宁波建工:首次公开发行A股招股意向书附录三")</f>
        <v>宁波建工:首次公开发行A股招股意向书附录三</v>
      </c>
    </row>
    <row r="1501" spans="1:3" x14ac:dyDescent="0.15">
      <c r="A1501" s="1">
        <v>40750</v>
      </c>
      <c r="B1501" t="s">
        <v>296</v>
      </c>
      <c r="C1501" s="2" t="str">
        <f>HYPERLINK("http://snap.windin.com/ns/bulletin.php?id=18663600&amp;type=1", "爱康科技:首次公开发行股票招股意向书")</f>
        <v>爱康科技:首次公开发行股票招股意向书</v>
      </c>
    </row>
    <row r="1502" spans="1:3" x14ac:dyDescent="0.15">
      <c r="A1502" s="1">
        <v>40750</v>
      </c>
      <c r="B1502" t="s">
        <v>296</v>
      </c>
      <c r="C1502" s="2" t="str">
        <f>HYPERLINK("http://snap.windin.com/ns/bulletin.php?id=1069847&amp;type=1", "爱康科技:首次公开发行股票招股意向书")</f>
        <v>爱康科技:首次公开发行股票招股意向书</v>
      </c>
    </row>
    <row r="1503" spans="1:3" x14ac:dyDescent="0.15">
      <c r="A1503" s="1">
        <v>40750</v>
      </c>
      <c r="B1503" t="s">
        <v>296</v>
      </c>
      <c r="C1503" s="2" t="str">
        <f>HYPERLINK("http://snap.windin.com/ns/bulletin.php?id=589575&amp;type=1", "爱康科技:首次公开发行股票招股意向书摘要")</f>
        <v>爱康科技:首次公开发行股票招股意向书摘要</v>
      </c>
    </row>
    <row r="1504" spans="1:3" x14ac:dyDescent="0.15">
      <c r="A1504" s="1">
        <v>40749</v>
      </c>
      <c r="B1504" t="s">
        <v>298</v>
      </c>
      <c r="C1504" s="2" t="str">
        <f>HYPERLINK("http://snap.windin.com/ns/bulletin.php?id=19172020&amp;type=1", "舜天船舶:首次公开发行股票招股意向书")</f>
        <v>舜天船舶:首次公开发行股票招股意向书</v>
      </c>
    </row>
    <row r="1505" spans="1:3" x14ac:dyDescent="0.15">
      <c r="A1505" s="1">
        <v>40749</v>
      </c>
      <c r="B1505" t="s">
        <v>295</v>
      </c>
      <c r="C1505" s="2" t="str">
        <f>HYPERLINK("http://snap.windin.com/ns/bulletin.php?id=18694800&amp;type=1", "捷顺科技:首次公开发行股票招股意向书")</f>
        <v>捷顺科技:首次公开发行股票招股意向书</v>
      </c>
    </row>
    <row r="1506" spans="1:3" x14ac:dyDescent="0.15">
      <c r="A1506" s="1">
        <v>40749</v>
      </c>
      <c r="B1506" t="s">
        <v>297</v>
      </c>
      <c r="C1506" s="2" t="str">
        <f>HYPERLINK("http://snap.windin.com/ns/bulletin.php?id=2101087&amp;type=1", "旗滨集团:首次公开发行股票招股意向书摘要")</f>
        <v>旗滨集团:首次公开发行股票招股意向书摘要</v>
      </c>
    </row>
    <row r="1507" spans="1:3" x14ac:dyDescent="0.15">
      <c r="A1507" s="1">
        <v>40749</v>
      </c>
      <c r="B1507" t="s">
        <v>295</v>
      </c>
      <c r="C1507" s="2" t="str">
        <f>HYPERLINK("http://snap.windin.com/ns/bulletin.php?id=2077301&amp;type=1", "捷顺科技:首次公开发行股票招股意向书摘要")</f>
        <v>捷顺科技:首次公开发行股票招股意向书摘要</v>
      </c>
    </row>
    <row r="1508" spans="1:3" x14ac:dyDescent="0.15">
      <c r="A1508" s="1">
        <v>40749</v>
      </c>
      <c r="B1508" t="s">
        <v>298</v>
      </c>
      <c r="C1508" s="2" t="str">
        <f>HYPERLINK("http://snap.windin.com/ns/bulletin.php?id=1708787&amp;type=1", "舜天船舶:首次公开发行股票招股意向书摘要")</f>
        <v>舜天船舶:首次公开发行股票招股意向书摘要</v>
      </c>
    </row>
    <row r="1509" spans="1:3" x14ac:dyDescent="0.15">
      <c r="A1509" s="1">
        <v>40749</v>
      </c>
      <c r="B1509" t="s">
        <v>297</v>
      </c>
      <c r="C1509" s="2" t="str">
        <f>HYPERLINK("http://snap.windin.com/ns/bulletin.php?id=1370662&amp;type=1", "旗滨集团:首次公开发行股票并上市招股意向书附录")</f>
        <v>旗滨集团:首次公开发行股票并上市招股意向书附录</v>
      </c>
    </row>
    <row r="1510" spans="1:3" x14ac:dyDescent="0.15">
      <c r="A1510" s="1">
        <v>40749</v>
      </c>
      <c r="B1510" t="s">
        <v>302</v>
      </c>
      <c r="C1510" s="2" t="str">
        <f>HYPERLINK("http://snap.windin.com/ns/bulletin.php?id=1160669&amp;type=1", "姚记扑克:首次公开发行股票招股说明书")</f>
        <v>姚记扑克:首次公开发行股票招股说明书</v>
      </c>
    </row>
    <row r="1511" spans="1:3" x14ac:dyDescent="0.15">
      <c r="A1511" s="1">
        <v>40749</v>
      </c>
      <c r="B1511" t="s">
        <v>298</v>
      </c>
      <c r="C1511" s="2" t="str">
        <f>HYPERLINK("http://snap.windin.com/ns/bulletin.php?id=927635&amp;type=1", "舜天船舶:首次公开发行股票招股意向书")</f>
        <v>舜天船舶:首次公开发行股票招股意向书</v>
      </c>
    </row>
    <row r="1512" spans="1:3" x14ac:dyDescent="0.15">
      <c r="A1512" s="1">
        <v>40749</v>
      </c>
      <c r="B1512" t="s">
        <v>295</v>
      </c>
      <c r="C1512" s="2" t="str">
        <f>HYPERLINK("http://snap.windin.com/ns/bulletin.php?id=548367&amp;type=1", "捷顺科技:首次公开发行股票招股意向书")</f>
        <v>捷顺科技:首次公开发行股票招股意向书</v>
      </c>
    </row>
    <row r="1513" spans="1:3" x14ac:dyDescent="0.15">
      <c r="A1513" s="1">
        <v>40749</v>
      </c>
      <c r="B1513" t="s">
        <v>306</v>
      </c>
      <c r="C1513" s="2" t="str">
        <f>HYPERLINK("http://snap.windin.com/ns/bulletin.php?id=479594&amp;type=1", "光线传媒:首次公开发行股票并在创业板上市招股说明书")</f>
        <v>光线传媒:首次公开发行股票并在创业板上市招股说明书</v>
      </c>
    </row>
    <row r="1514" spans="1:3" x14ac:dyDescent="0.15">
      <c r="A1514" s="1">
        <v>40749</v>
      </c>
      <c r="B1514" t="s">
        <v>297</v>
      </c>
      <c r="C1514" s="2" t="str">
        <f>HYPERLINK("http://snap.windin.com/ns/bulletin.php?id=468105&amp;type=1", "旗滨集团:首次公开发行股票招股意向书")</f>
        <v>旗滨集团:首次公开发行股票招股意向书</v>
      </c>
    </row>
    <row r="1515" spans="1:3" x14ac:dyDescent="0.15">
      <c r="A1515" s="1">
        <v>40746</v>
      </c>
      <c r="B1515" t="s">
        <v>292</v>
      </c>
      <c r="C1515" s="2" t="str">
        <f>HYPERLINK("http://snap.windin.com/ns/bulletin.php?id=18533640&amp;type=1", "金信诺:首次公开发行股票并在创业板上市招股意向书")</f>
        <v>金信诺:首次公开发行股票并在创业板上市招股意向书</v>
      </c>
    </row>
    <row r="1516" spans="1:3" x14ac:dyDescent="0.15">
      <c r="A1516" s="1">
        <v>40746</v>
      </c>
      <c r="B1516" t="s">
        <v>292</v>
      </c>
      <c r="C1516" s="2" t="str">
        <f>HYPERLINK("http://snap.windin.com/ns/bulletin.php?id=1802323&amp;type=1", "金信诺:首次公开发行股票并在创业板上市招股意向书")</f>
        <v>金信诺:首次公开发行股票并在创业板上市招股意向书</v>
      </c>
    </row>
    <row r="1517" spans="1:3" x14ac:dyDescent="0.15">
      <c r="A1517" s="1">
        <v>40746</v>
      </c>
      <c r="B1517" t="s">
        <v>305</v>
      </c>
      <c r="C1517" s="2" t="str">
        <f>HYPERLINK("http://snap.windin.com/ns/bulletin.php?id=1771394&amp;type=1", "依米康:首次公开发行股票并在创业板上市招股说明书")</f>
        <v>依米康:首次公开发行股票并在创业板上市招股说明书</v>
      </c>
    </row>
    <row r="1518" spans="1:3" x14ac:dyDescent="0.15">
      <c r="A1518" s="1">
        <v>40746</v>
      </c>
      <c r="B1518" t="s">
        <v>304</v>
      </c>
      <c r="C1518" s="2" t="str">
        <f>HYPERLINK("http://snap.windin.com/ns/bulletin.php?id=800070&amp;type=1", "初灵信息:首次公开发行股票并在创业板上市招股说明书")</f>
        <v>初灵信息:首次公开发行股票并在创业板上市招股说明书</v>
      </c>
    </row>
    <row r="1519" spans="1:3" x14ac:dyDescent="0.15">
      <c r="A1519" s="1">
        <v>40745</v>
      </c>
      <c r="B1519" t="s">
        <v>300</v>
      </c>
      <c r="C1519" s="2" t="str">
        <f>HYPERLINK("http://snap.windin.com/ns/bulletin.php?id=1662088&amp;type=1", "亚夏汽车:首次公开发行股票招股意向书摘要")</f>
        <v>亚夏汽车:首次公开发行股票招股意向书摘要</v>
      </c>
    </row>
    <row r="1520" spans="1:3" x14ac:dyDescent="0.15">
      <c r="A1520" s="1">
        <v>40745</v>
      </c>
      <c r="B1520" t="s">
        <v>301</v>
      </c>
      <c r="C1520" s="2" t="str">
        <f>HYPERLINK("http://snap.windin.com/ns/bulletin.php?id=1516834&amp;type=1", "林洋电子:首次公开发行股票招股意向书摘要")</f>
        <v>林洋电子:首次公开发行股票招股意向书摘要</v>
      </c>
    </row>
    <row r="1521" spans="1:3" x14ac:dyDescent="0.15">
      <c r="A1521" s="1">
        <v>40745</v>
      </c>
      <c r="B1521" t="s">
        <v>299</v>
      </c>
      <c r="C1521" s="2" t="str">
        <f>HYPERLINK("http://snap.windin.com/ns/bulletin.php?id=1501852&amp;type=1", "方正证券:首次公开发行股票招股意向书附录三")</f>
        <v>方正证券:首次公开发行股票招股意向书附录三</v>
      </c>
    </row>
    <row r="1522" spans="1:3" x14ac:dyDescent="0.15">
      <c r="A1522" s="1">
        <v>40745</v>
      </c>
      <c r="B1522" t="s">
        <v>299</v>
      </c>
      <c r="C1522" s="2" t="str">
        <f>HYPERLINK("http://snap.windin.com/ns/bulletin.php?id=1461233&amp;type=1", "方正证券:首次公开发行A股股票招股意向书摘要")</f>
        <v>方正证券:首次公开发行A股股票招股意向书摘要</v>
      </c>
    </row>
    <row r="1523" spans="1:3" x14ac:dyDescent="0.15">
      <c r="A1523" s="1">
        <v>40745</v>
      </c>
      <c r="B1523" t="s">
        <v>299</v>
      </c>
      <c r="C1523" s="2" t="str">
        <f>HYPERLINK("http://snap.windin.com/ns/bulletin.php?id=1265060&amp;type=1", "方正证券:首次公开发行A股股票招股意向书")</f>
        <v>方正证券:首次公开发行A股股票招股意向书</v>
      </c>
    </row>
    <row r="1524" spans="1:3" x14ac:dyDescent="0.15">
      <c r="A1524" s="1">
        <v>40745</v>
      </c>
      <c r="B1524" t="s">
        <v>299</v>
      </c>
      <c r="C1524" s="2" t="str">
        <f>HYPERLINK("http://snap.windin.com/ns/bulletin.php?id=1173339&amp;type=1", "方正证券:首次公开发行股票招股意向书附录二")</f>
        <v>方正证券:首次公开发行股票招股意向书附录二</v>
      </c>
    </row>
    <row r="1525" spans="1:3" x14ac:dyDescent="0.15">
      <c r="A1525" s="1">
        <v>40745</v>
      </c>
      <c r="B1525" t="s">
        <v>300</v>
      </c>
      <c r="C1525" s="2" t="str">
        <f>HYPERLINK("http://snap.windin.com/ns/bulletin.php?id=976917&amp;type=1", "亚夏汽车:首次公开发行股票招股意向书")</f>
        <v>亚夏汽车:首次公开发行股票招股意向书</v>
      </c>
    </row>
    <row r="1526" spans="1:3" x14ac:dyDescent="0.15">
      <c r="A1526" s="1">
        <v>40745</v>
      </c>
      <c r="B1526" t="s">
        <v>301</v>
      </c>
      <c r="C1526" s="2" t="str">
        <f>HYPERLINK("http://snap.windin.com/ns/bulletin.php?id=514012&amp;type=1", "林洋电子:首次公开发行股票招股意向书附录")</f>
        <v>林洋电子:首次公开发行股票招股意向书附录</v>
      </c>
    </row>
    <row r="1527" spans="1:3" x14ac:dyDescent="0.15">
      <c r="A1527" s="1">
        <v>40745</v>
      </c>
      <c r="B1527" t="s">
        <v>301</v>
      </c>
      <c r="C1527" s="2" t="str">
        <f>HYPERLINK("http://snap.windin.com/ns/bulletin.php?id=91317&amp;type=1", "林洋电子:首次公开发行股票招股意向书")</f>
        <v>林洋电子:首次公开发行股票招股意向书</v>
      </c>
    </row>
    <row r="1528" spans="1:3" x14ac:dyDescent="0.15">
      <c r="A1528" s="1">
        <v>40745</v>
      </c>
      <c r="B1528" t="s">
        <v>299</v>
      </c>
      <c r="C1528" s="2" t="str">
        <f>HYPERLINK("http://snap.windin.com/ns/bulletin.php?id=85748&amp;type=1", "方正证券:首次公开发行股票招股意向书附录一")</f>
        <v>方正证券:首次公开发行股票招股意向书附录一</v>
      </c>
    </row>
    <row r="1529" spans="1:3" x14ac:dyDescent="0.15">
      <c r="A1529" s="1">
        <v>40743</v>
      </c>
      <c r="B1529" t="s">
        <v>311</v>
      </c>
      <c r="C1529" s="2" t="str">
        <f>HYPERLINK("http://snap.windin.com/ns/bulletin.php?id=2079212&amp;type=1", "龙力生物:首次公开发行股票招股说明书摘要")</f>
        <v>龙力生物:首次公开发行股票招股说明书摘要</v>
      </c>
    </row>
    <row r="1530" spans="1:3" x14ac:dyDescent="0.15">
      <c r="A1530" s="1">
        <v>40743</v>
      </c>
      <c r="B1530" t="s">
        <v>308</v>
      </c>
      <c r="C1530" s="2" t="str">
        <f>HYPERLINK("http://snap.windin.com/ns/bulletin.php?id=1684979&amp;type=1", "新开普:首次公开发行股票并在创业板上市招股说明书")</f>
        <v>新开普:首次公开发行股票并在创业板上市招股说明书</v>
      </c>
    </row>
    <row r="1531" spans="1:3" x14ac:dyDescent="0.15">
      <c r="A1531" s="1">
        <v>40743</v>
      </c>
      <c r="B1531" t="s">
        <v>311</v>
      </c>
      <c r="C1531" s="2" t="str">
        <f>HYPERLINK("http://snap.windin.com/ns/bulletin.php?id=133222&amp;type=1", "龙力生物:首次公开发行股票招股说明书")</f>
        <v>龙力生物:首次公开发行股票招股说明书</v>
      </c>
    </row>
    <row r="1532" spans="1:3" x14ac:dyDescent="0.15">
      <c r="A1532" s="1">
        <v>40742</v>
      </c>
      <c r="B1532" t="s">
        <v>303</v>
      </c>
      <c r="C1532" s="2" t="str">
        <f>HYPERLINK("http://snap.windin.com/ns/bulletin.php?id=18561106&amp;type=1", "大连电瓷:首次公开发行股票招股意向书")</f>
        <v>大连电瓷:首次公开发行股票招股意向书</v>
      </c>
    </row>
    <row r="1533" spans="1:3" x14ac:dyDescent="0.15">
      <c r="A1533" s="1">
        <v>40742</v>
      </c>
      <c r="B1533" t="s">
        <v>303</v>
      </c>
      <c r="C1533" s="2" t="str">
        <f>HYPERLINK("http://snap.windin.com/ns/bulletin.php?id=18494774&amp;type=1", "大连电瓷:首次公开发行股票招股意向书")</f>
        <v>大连电瓷:首次公开发行股票招股意向书</v>
      </c>
    </row>
    <row r="1534" spans="1:3" x14ac:dyDescent="0.15">
      <c r="A1534" s="1">
        <v>40742</v>
      </c>
      <c r="B1534" t="s">
        <v>312</v>
      </c>
      <c r="C1534" s="2" t="str">
        <f>HYPERLINK("http://snap.windin.com/ns/bulletin.php?id=1966035&amp;type=1", "宝莱特:首次公开发行股票并在创业板上市公告书")</f>
        <v>宝莱特:首次公开发行股票并在创业板上市公告书</v>
      </c>
    </row>
    <row r="1535" spans="1:3" x14ac:dyDescent="0.15">
      <c r="A1535" s="1">
        <v>40742</v>
      </c>
      <c r="B1535" t="s">
        <v>309</v>
      </c>
      <c r="C1535" s="2" t="str">
        <f>HYPERLINK("http://snap.windin.com/ns/bulletin.php?id=1627233&amp;type=1", "以岭药业:首次公开发行股票（A股）招股说明书")</f>
        <v>以岭药业:首次公开发行股票（A股）招股说明书</v>
      </c>
    </row>
    <row r="1536" spans="1:3" x14ac:dyDescent="0.15">
      <c r="A1536" s="1">
        <v>40742</v>
      </c>
      <c r="B1536" t="s">
        <v>302</v>
      </c>
      <c r="C1536" s="2" t="str">
        <f>HYPERLINK("http://snap.windin.com/ns/bulletin.php?id=1613556&amp;type=1", "姚记扑克:首次公开发行股票招股意向书")</f>
        <v>姚记扑克:首次公开发行股票招股意向书</v>
      </c>
    </row>
    <row r="1537" spans="1:3" x14ac:dyDescent="0.15">
      <c r="A1537" s="1">
        <v>40742</v>
      </c>
      <c r="B1537" t="s">
        <v>313</v>
      </c>
      <c r="C1537" s="2" t="str">
        <f>HYPERLINK("http://snap.windin.com/ns/bulletin.php?id=1332365&amp;type=1", "天玑科技:首次公开发行股票并在创业板上市上市公告书提示性公告")</f>
        <v>天玑科技:首次公开发行股票并在创业板上市上市公告书提示性公告</v>
      </c>
    </row>
    <row r="1538" spans="1:3" x14ac:dyDescent="0.15">
      <c r="A1538" s="1">
        <v>40742</v>
      </c>
      <c r="B1538" t="s">
        <v>303</v>
      </c>
      <c r="C1538" s="2" t="str">
        <f>HYPERLINK("http://snap.windin.com/ns/bulletin.php?id=1156695&amp;type=1", "大连电瓷:首次公开发行股票招股意向书")</f>
        <v>大连电瓷:首次公开发行股票招股意向书</v>
      </c>
    </row>
    <row r="1539" spans="1:3" x14ac:dyDescent="0.15">
      <c r="A1539" s="1">
        <v>40742</v>
      </c>
      <c r="B1539" t="s">
        <v>303</v>
      </c>
      <c r="C1539" s="2" t="str">
        <f>HYPERLINK("http://snap.windin.com/ns/bulletin.php?id=864667&amp;type=1", "大连电瓷:首次公开发行股票招股意向书摘要")</f>
        <v>大连电瓷:首次公开发行股票招股意向书摘要</v>
      </c>
    </row>
    <row r="1540" spans="1:3" x14ac:dyDescent="0.15">
      <c r="A1540" s="1">
        <v>40742</v>
      </c>
      <c r="B1540" t="s">
        <v>314</v>
      </c>
      <c r="C1540" s="2" t="str">
        <f>HYPERLINK("http://snap.windin.com/ns/bulletin.php?id=566695&amp;type=1", "迪安诊断:首次公开发行股票并在创业板上市公告书提示性公告")</f>
        <v>迪安诊断:首次公开发行股票并在创业板上市公告书提示性公告</v>
      </c>
    </row>
    <row r="1541" spans="1:3" x14ac:dyDescent="0.15">
      <c r="A1541" s="1">
        <v>40742</v>
      </c>
      <c r="B1541" t="s">
        <v>314</v>
      </c>
      <c r="C1541" s="2" t="str">
        <f>HYPERLINK("http://snap.windin.com/ns/bulletin.php?id=459279&amp;type=1", "迪安诊断:首次公开发行股票并在创业板上市上市公告书")</f>
        <v>迪安诊断:首次公开发行股票并在创业板上市上市公告书</v>
      </c>
    </row>
    <row r="1542" spans="1:3" x14ac:dyDescent="0.15">
      <c r="A1542" s="1">
        <v>40742</v>
      </c>
      <c r="B1542" t="s">
        <v>313</v>
      </c>
      <c r="C1542" s="2" t="str">
        <f>HYPERLINK("http://snap.windin.com/ns/bulletin.php?id=431455&amp;type=1", "天玑科技:首次公开发行股票并在创业板上市上市公告书")</f>
        <v>天玑科技:首次公开发行股票并在创业板上市上市公告书</v>
      </c>
    </row>
    <row r="1543" spans="1:3" x14ac:dyDescent="0.15">
      <c r="A1543" s="1">
        <v>40742</v>
      </c>
      <c r="B1543" t="s">
        <v>312</v>
      </c>
      <c r="C1543" s="2" t="str">
        <f>HYPERLINK("http://snap.windin.com/ns/bulletin.php?id=408982&amp;type=1", "宝莱特:首次公开发行股票并在创业板上市公告书提示性公告")</f>
        <v>宝莱特:首次公开发行股票并在创业板上市公告书提示性公告</v>
      </c>
    </row>
    <row r="1544" spans="1:3" x14ac:dyDescent="0.15">
      <c r="A1544" s="1">
        <v>40742</v>
      </c>
      <c r="B1544" t="s">
        <v>302</v>
      </c>
      <c r="C1544" s="2" t="str">
        <f>HYPERLINK("http://snap.windin.com/ns/bulletin.php?id=243284&amp;type=1", "姚记扑克:首次公开发行股票招股意向书摘要")</f>
        <v>姚记扑克:首次公开发行股票招股意向书摘要</v>
      </c>
    </row>
    <row r="1545" spans="1:3" x14ac:dyDescent="0.15">
      <c r="A1545" s="1">
        <v>40742</v>
      </c>
      <c r="B1545" t="s">
        <v>309</v>
      </c>
      <c r="C1545" s="2" t="str">
        <f>HYPERLINK("http://snap.windin.com/ns/bulletin.php?id=186311&amp;type=1", "以岭药业:首次公开发行股票（A股）招股说明书摘要")</f>
        <v>以岭药业:首次公开发行股票（A股）招股说明书摘要</v>
      </c>
    </row>
    <row r="1546" spans="1:3" x14ac:dyDescent="0.15">
      <c r="A1546" s="1">
        <v>40739</v>
      </c>
      <c r="B1546" t="s">
        <v>304</v>
      </c>
      <c r="C1546" s="2" t="str">
        <f>HYPERLINK("http://snap.windin.com/ns/bulletin.php?id=19027610&amp;type=1", "初灵信息:首次公开发行股票并在创业板上市招股意向书")</f>
        <v>初灵信息:首次公开发行股票并在创业板上市招股意向书</v>
      </c>
    </row>
    <row r="1547" spans="1:3" x14ac:dyDescent="0.15">
      <c r="A1547" s="1">
        <v>40739</v>
      </c>
      <c r="B1547" t="s">
        <v>304</v>
      </c>
      <c r="C1547" s="2" t="str">
        <f>HYPERLINK("http://snap.windin.com/ns/bulletin.php?id=18567946&amp;type=1", "初灵信息:首次公开发行股票并在创业板上市招股意向书")</f>
        <v>初灵信息:首次公开发行股票并在创业板上市招股意向书</v>
      </c>
    </row>
    <row r="1548" spans="1:3" x14ac:dyDescent="0.15">
      <c r="A1548" s="1">
        <v>40739</v>
      </c>
      <c r="B1548" t="s">
        <v>306</v>
      </c>
      <c r="C1548" s="2" t="str">
        <f>HYPERLINK("http://snap.windin.com/ns/bulletin.php?id=18409718&amp;type=1", "光线传媒:首次公开发行股票并在创业板上市招股意向书")</f>
        <v>光线传媒:首次公开发行股票并在创业板上市招股意向书</v>
      </c>
    </row>
    <row r="1549" spans="1:3" x14ac:dyDescent="0.15">
      <c r="A1549" s="1">
        <v>40739</v>
      </c>
      <c r="B1549" t="s">
        <v>306</v>
      </c>
      <c r="C1549" s="2" t="str">
        <f>HYPERLINK("http://snap.windin.com/ns/bulletin.php?id=18408030&amp;type=1", "光线传媒:首次公开发行股票并在创业板上市招股意向书")</f>
        <v>光线传媒:首次公开发行股票并在创业板上市招股意向书</v>
      </c>
    </row>
    <row r="1550" spans="1:3" x14ac:dyDescent="0.15">
      <c r="A1550" s="1">
        <v>40739</v>
      </c>
      <c r="B1550" t="s">
        <v>305</v>
      </c>
      <c r="C1550" s="2" t="str">
        <f>HYPERLINK("http://snap.windin.com/ns/bulletin.php?id=18398712&amp;type=1", "依米康:首次公开发行股票并在创业板上市招股意向书")</f>
        <v>依米康:首次公开发行股票并在创业板上市招股意向书</v>
      </c>
    </row>
    <row r="1551" spans="1:3" x14ac:dyDescent="0.15">
      <c r="A1551" s="1">
        <v>40739</v>
      </c>
      <c r="B1551" t="s">
        <v>307</v>
      </c>
      <c r="C1551" s="2" t="str">
        <f>HYPERLINK("http://snap.windin.com/ns/bulletin.php?id=2116583&amp;type=1", "桑乐金:首次公开发行股票并在创业板上市招股说明书")</f>
        <v>桑乐金:首次公开发行股票并在创业板上市招股说明书</v>
      </c>
    </row>
    <row r="1552" spans="1:3" x14ac:dyDescent="0.15">
      <c r="A1552" s="1">
        <v>40739</v>
      </c>
      <c r="B1552" t="s">
        <v>304</v>
      </c>
      <c r="C1552" s="2" t="str">
        <f>HYPERLINK("http://snap.windin.com/ns/bulletin.php?id=1988773&amp;type=1", "初灵信息:首次公开发行股票并在创业板上市招股意向书")</f>
        <v>初灵信息:首次公开发行股票并在创业板上市招股意向书</v>
      </c>
    </row>
    <row r="1553" spans="1:3" x14ac:dyDescent="0.15">
      <c r="A1553" s="1">
        <v>40739</v>
      </c>
      <c r="B1553" t="s">
        <v>305</v>
      </c>
      <c r="C1553" s="2" t="str">
        <f>HYPERLINK("http://snap.windin.com/ns/bulletin.php?id=1382635&amp;type=1", "依米康:首次公开发行股票并在创业板上市招股意向书")</f>
        <v>依米康:首次公开发行股票并在创业板上市招股意向书</v>
      </c>
    </row>
    <row r="1554" spans="1:3" x14ac:dyDescent="0.15">
      <c r="A1554" s="1">
        <v>40739</v>
      </c>
      <c r="B1554" t="s">
        <v>306</v>
      </c>
      <c r="C1554" s="2" t="str">
        <f>HYPERLINK("http://snap.windin.com/ns/bulletin.php?id=1336874&amp;type=1", "光线传媒:首次公开发行股票并在创业板上市招股意向书")</f>
        <v>光线传媒:首次公开发行股票并在创业板上市招股意向书</v>
      </c>
    </row>
    <row r="1555" spans="1:3" x14ac:dyDescent="0.15">
      <c r="A1555" s="1">
        <v>40738</v>
      </c>
      <c r="B1555" t="s">
        <v>315</v>
      </c>
      <c r="C1555" s="2" t="str">
        <f>HYPERLINK("http://snap.windin.com/ns/bulletin.php?id=1448798&amp;type=1", "江粉磁材:首次公开发行股票上市公告书")</f>
        <v>江粉磁材:首次公开发行股票上市公告书</v>
      </c>
    </row>
    <row r="1556" spans="1:3" x14ac:dyDescent="0.15">
      <c r="A1556" s="1">
        <v>40738</v>
      </c>
      <c r="B1556" t="s">
        <v>316</v>
      </c>
      <c r="C1556" s="2" t="str">
        <f>HYPERLINK("http://snap.windin.com/ns/bulletin.php?id=509760&amp;type=1", "佰利联:首次公开发行股票上市公告书")</f>
        <v>佰利联:首次公开发行股票上市公告书</v>
      </c>
    </row>
    <row r="1557" spans="1:3" x14ac:dyDescent="0.15">
      <c r="A1557" s="1">
        <v>40738</v>
      </c>
      <c r="B1557" t="s">
        <v>317</v>
      </c>
      <c r="C1557" s="2" t="str">
        <f>HYPERLINK("http://snap.windin.com/ns/bulletin.php?id=425089&amp;type=1", "盛通股份:首次公开发行股票上市公告书")</f>
        <v>盛通股份:首次公开发行股票上市公告书</v>
      </c>
    </row>
    <row r="1558" spans="1:3" x14ac:dyDescent="0.15">
      <c r="A1558" s="1">
        <v>40736</v>
      </c>
      <c r="B1558" t="s">
        <v>310</v>
      </c>
      <c r="C1558" s="2" t="str">
        <f>HYPERLINK("http://snap.windin.com/ns/bulletin.php?id=2087729&amp;type=1", "世纪华通:首次公开发行股票招股说明书摘要")</f>
        <v>世纪华通:首次公开发行股票招股说明书摘要</v>
      </c>
    </row>
    <row r="1559" spans="1:3" x14ac:dyDescent="0.15">
      <c r="A1559" s="1">
        <v>40736</v>
      </c>
      <c r="B1559" t="s">
        <v>318</v>
      </c>
      <c r="C1559" s="2" t="str">
        <f>HYPERLINK("http://snap.windin.com/ns/bulletin.php?id=2077087&amp;type=1", "N瑞高:关于《山东瑞丰高分子材料股份有限公司首次公开发行股票并在创业板上市公告书》更正公告")</f>
        <v>N瑞高:关于《山东瑞丰高分子材料股份有限公司首次公开发行股票并在创业板上市公告书》更正公告</v>
      </c>
    </row>
    <row r="1560" spans="1:3" x14ac:dyDescent="0.15">
      <c r="A1560" s="1">
        <v>40736</v>
      </c>
      <c r="B1560" t="s">
        <v>318</v>
      </c>
      <c r="C1560" s="2" t="str">
        <f>HYPERLINK("http://snap.windin.com/ns/bulletin.php?id=2029605&amp;type=1", "N瑞高:首次公开发行股票并在创业板上市公告书（更正后）")</f>
        <v>N瑞高:首次公开发行股票并在创业板上市公告书（更正后）</v>
      </c>
    </row>
    <row r="1561" spans="1:3" x14ac:dyDescent="0.15">
      <c r="A1561" s="1">
        <v>40736</v>
      </c>
      <c r="B1561" t="s">
        <v>310</v>
      </c>
      <c r="C1561" s="2" t="str">
        <f>HYPERLINK("http://snap.windin.com/ns/bulletin.php?id=2006246&amp;type=1", "世纪华通:首次公开发行股票招股说明书")</f>
        <v>世纪华通:首次公开发行股票招股说明书</v>
      </c>
    </row>
    <row r="1562" spans="1:3" x14ac:dyDescent="0.15">
      <c r="A1562" s="1">
        <v>40735</v>
      </c>
      <c r="B1562" t="s">
        <v>311</v>
      </c>
      <c r="C1562" s="2" t="str">
        <f>HYPERLINK("http://snap.windin.com/ns/bulletin.php?id=19310568&amp;type=1", "龙力生物:首次公开发行股票招股意向书")</f>
        <v>龙力生物:首次公开发行股票招股意向书</v>
      </c>
    </row>
    <row r="1563" spans="1:3" x14ac:dyDescent="0.15">
      <c r="A1563" s="1">
        <v>40735</v>
      </c>
      <c r="B1563" t="s">
        <v>309</v>
      </c>
      <c r="C1563" s="2" t="str">
        <f>HYPERLINK("http://snap.windin.com/ns/bulletin.php?id=19259332&amp;type=1", "以岭药业:首次公开发行股票招股意向书")</f>
        <v>以岭药业:首次公开发行股票招股意向书</v>
      </c>
    </row>
    <row r="1564" spans="1:3" x14ac:dyDescent="0.15">
      <c r="A1564" s="1">
        <v>40735</v>
      </c>
      <c r="B1564" t="s">
        <v>319</v>
      </c>
      <c r="C1564" s="2" t="str">
        <f>HYPERLINK("http://snap.windin.com/ns/bulletin.php?id=1819521&amp;type=1", "明家科技:首次公开发行股票并在创业板上市之上市公告书")</f>
        <v>明家科技:首次公开发行股票并在创业板上市之上市公告书</v>
      </c>
    </row>
    <row r="1565" spans="1:3" x14ac:dyDescent="0.15">
      <c r="A1565" s="1">
        <v>40735</v>
      </c>
      <c r="B1565" t="s">
        <v>311</v>
      </c>
      <c r="C1565" s="2" t="str">
        <f>HYPERLINK("http://snap.windin.com/ns/bulletin.php?id=1598866&amp;type=1", "龙力生物:首次公开发行股票招股意向书摘要")</f>
        <v>龙力生物:首次公开发行股票招股意向书摘要</v>
      </c>
    </row>
    <row r="1566" spans="1:3" x14ac:dyDescent="0.15">
      <c r="A1566" s="1">
        <v>40735</v>
      </c>
      <c r="B1566" t="s">
        <v>318</v>
      </c>
      <c r="C1566" s="2" t="str">
        <f>HYPERLINK("http://snap.windin.com/ns/bulletin.php?id=1553073&amp;type=1", "瑞丰高材:首次公开发行股票并在创业板上市公告书")</f>
        <v>瑞丰高材:首次公开发行股票并在创业板上市公告书</v>
      </c>
    </row>
    <row r="1567" spans="1:3" x14ac:dyDescent="0.15">
      <c r="A1567" s="1">
        <v>40735</v>
      </c>
      <c r="B1567" t="s">
        <v>318</v>
      </c>
      <c r="C1567" s="2" t="str">
        <f>HYPERLINK("http://snap.windin.com/ns/bulletin.php?id=1382955&amp;type=1", "瑞丰高材:首次公开发行股票并在创业板上市公告书提示性公告")</f>
        <v>瑞丰高材:首次公开发行股票并在创业板上市公告书提示性公告</v>
      </c>
    </row>
    <row r="1568" spans="1:3" x14ac:dyDescent="0.15">
      <c r="A1568" s="1">
        <v>40735</v>
      </c>
      <c r="B1568" t="s">
        <v>309</v>
      </c>
      <c r="C1568" s="2" t="str">
        <f>HYPERLINK("http://snap.windin.com/ns/bulletin.php?id=1260607&amp;type=1", "以岭药业:首次公开发行股票（A股）招股意向书摘要")</f>
        <v>以岭药业:首次公开发行股票（A股）招股意向书摘要</v>
      </c>
    </row>
    <row r="1569" spans="1:3" x14ac:dyDescent="0.15">
      <c r="A1569" s="1">
        <v>40735</v>
      </c>
      <c r="B1569" t="s">
        <v>311</v>
      </c>
      <c r="C1569" s="2" t="str">
        <f>HYPERLINK("http://snap.windin.com/ns/bulletin.php?id=1132480&amp;type=1", "龙力生物:首次公开发行股票招股意向书")</f>
        <v>龙力生物:首次公开发行股票招股意向书</v>
      </c>
    </row>
    <row r="1570" spans="1:3" x14ac:dyDescent="0.15">
      <c r="A1570" s="1">
        <v>40735</v>
      </c>
      <c r="B1570" t="s">
        <v>319</v>
      </c>
      <c r="C1570" s="2" t="str">
        <f>HYPERLINK("http://snap.windin.com/ns/bulletin.php?id=606780&amp;type=1", "明家科技:首次公开发行股票并在创业板上市公告书提示性公告")</f>
        <v>明家科技:首次公开发行股票并在创业板上市公告书提示性公告</v>
      </c>
    </row>
    <row r="1571" spans="1:3" x14ac:dyDescent="0.15">
      <c r="A1571" s="1">
        <v>40735</v>
      </c>
      <c r="B1571" t="s">
        <v>320</v>
      </c>
      <c r="C1571" s="2" t="str">
        <f>HYPERLINK("http://snap.windin.com/ns/bulletin.php?id=583332&amp;type=1", "瑞丰光电:首次公开发行股票并在创业板上市公告书")</f>
        <v>瑞丰光电:首次公开发行股票并在创业板上市公告书</v>
      </c>
    </row>
    <row r="1572" spans="1:3" x14ac:dyDescent="0.15">
      <c r="A1572" s="1">
        <v>40735</v>
      </c>
      <c r="B1572" t="s">
        <v>309</v>
      </c>
      <c r="C1572" s="2" t="str">
        <f>HYPERLINK("http://snap.windin.com/ns/bulletin.php?id=567194&amp;type=1", "以岭药业:首次公开发行股票（A股）招股意向书")</f>
        <v>以岭药业:首次公开发行股票（A股）招股意向书</v>
      </c>
    </row>
    <row r="1573" spans="1:3" x14ac:dyDescent="0.15">
      <c r="A1573" s="1">
        <v>40735</v>
      </c>
      <c r="B1573" t="s">
        <v>320</v>
      </c>
      <c r="C1573" s="2" t="str">
        <f>HYPERLINK("http://snap.windin.com/ns/bulletin.php?id=406216&amp;type=1", "瑞丰光电:首次公开发行股票并在创业板上市公告书提示性公告")</f>
        <v>瑞丰光电:首次公开发行股票并在创业板上市公告书提示性公告</v>
      </c>
    </row>
    <row r="1574" spans="1:3" x14ac:dyDescent="0.15">
      <c r="A1574" s="1">
        <v>40732</v>
      </c>
      <c r="B1574" t="s">
        <v>307</v>
      </c>
      <c r="C1574" s="2" t="str">
        <f>HYPERLINK("http://snap.windin.com/ns/bulletin.php?id=18847344&amp;type=1", "桑乐金:首次公开发行股票并在创业板上市招股意向书")</f>
        <v>桑乐金:首次公开发行股票并在创业板上市招股意向书</v>
      </c>
    </row>
    <row r="1575" spans="1:3" x14ac:dyDescent="0.15">
      <c r="A1575" s="1">
        <v>40732</v>
      </c>
      <c r="B1575" t="s">
        <v>312</v>
      </c>
      <c r="C1575" s="2" t="str">
        <f>HYPERLINK("http://snap.windin.com/ns/bulletin.php?id=1695196&amp;type=1", "宝莱特:首次公开发行股票并在创业板上市招股说明书")</f>
        <v>宝莱特:首次公开发行股票并在创业板上市招股说明书</v>
      </c>
    </row>
    <row r="1576" spans="1:3" x14ac:dyDescent="0.15">
      <c r="A1576" s="1">
        <v>40732</v>
      </c>
      <c r="B1576" t="s">
        <v>307</v>
      </c>
      <c r="C1576" s="2" t="str">
        <f>HYPERLINK("http://snap.windin.com/ns/bulletin.php?id=1576192&amp;type=1", "桑乐金:首次公开发行股票并在创业板上市招股意向书")</f>
        <v>桑乐金:首次公开发行股票并在创业板上市招股意向书</v>
      </c>
    </row>
    <row r="1577" spans="1:3" x14ac:dyDescent="0.15">
      <c r="A1577" s="1">
        <v>40732</v>
      </c>
      <c r="B1577" t="s">
        <v>314</v>
      </c>
      <c r="C1577" s="2" t="str">
        <f>HYPERLINK("http://snap.windin.com/ns/bulletin.php?id=1355562&amp;type=1", "迪安诊断:首次公开发行股票并在创业板上市招股说明书")</f>
        <v>迪安诊断:首次公开发行股票并在创业板上市招股说明书</v>
      </c>
    </row>
    <row r="1578" spans="1:3" x14ac:dyDescent="0.15">
      <c r="A1578" s="1">
        <v>40732</v>
      </c>
      <c r="B1578" t="s">
        <v>308</v>
      </c>
      <c r="C1578" s="2" t="str">
        <f>HYPERLINK("http://snap.windin.com/ns/bulletin.php?id=1202516&amp;type=1", "新开普:首次公开发行股票并在创业板上市招股意向书")</f>
        <v>新开普:首次公开发行股票并在创业板上市招股意向书</v>
      </c>
    </row>
    <row r="1579" spans="1:3" x14ac:dyDescent="0.15">
      <c r="A1579" s="1">
        <v>40732</v>
      </c>
      <c r="B1579" t="s">
        <v>313</v>
      </c>
      <c r="C1579" s="2" t="str">
        <f>HYPERLINK("http://snap.windin.com/ns/bulletin.php?id=406116&amp;type=1", "天玑科技:首次公开发行股票并在创业板上市招股说明书")</f>
        <v>天玑科技:首次公开发行股票并在创业板上市招股说明书</v>
      </c>
    </row>
    <row r="1580" spans="1:3" x14ac:dyDescent="0.15">
      <c r="A1580" s="1">
        <v>40730</v>
      </c>
      <c r="B1580" t="s">
        <v>321</v>
      </c>
      <c r="C1580" s="2" t="str">
        <f>HYPERLINK("http://snap.windin.com/ns/bulletin.php?id=2055177&amp;type=1", "金禾实业:首次公开发行股票上市公告书")</f>
        <v>金禾实业:首次公开发行股票上市公告书</v>
      </c>
    </row>
    <row r="1581" spans="1:3" x14ac:dyDescent="0.15">
      <c r="A1581" s="1">
        <v>40730</v>
      </c>
      <c r="B1581" t="s">
        <v>322</v>
      </c>
      <c r="C1581" s="2" t="str">
        <f>HYPERLINK("http://snap.windin.com/ns/bulletin.php?id=1839669&amp;type=1", "山东章鼓:首次公开发行股票上市公告书")</f>
        <v>山东章鼓:首次公开发行股票上市公告书</v>
      </c>
    </row>
    <row r="1582" spans="1:3" x14ac:dyDescent="0.15">
      <c r="A1582" s="1">
        <v>40730</v>
      </c>
      <c r="B1582" t="s">
        <v>323</v>
      </c>
      <c r="C1582" s="2" t="str">
        <f>HYPERLINK("http://snap.windin.com/ns/bulletin.php?id=186579&amp;type=1", "海南瑞泽:首次公开发行股票上市公告书")</f>
        <v>海南瑞泽:首次公开发行股票上市公告书</v>
      </c>
    </row>
    <row r="1583" spans="1:3" x14ac:dyDescent="0.15">
      <c r="A1583" s="1">
        <v>40729</v>
      </c>
      <c r="B1583" t="s">
        <v>310</v>
      </c>
      <c r="C1583" s="2" t="str">
        <f>HYPERLINK("http://snap.windin.com/ns/bulletin.php?id=19267638&amp;type=1", "世纪华通:首次公开发行股票并上市招股意向书")</f>
        <v>世纪华通:首次公开发行股票并上市招股意向书</v>
      </c>
    </row>
    <row r="1584" spans="1:3" x14ac:dyDescent="0.15">
      <c r="A1584" s="1">
        <v>40729</v>
      </c>
      <c r="B1584" t="s">
        <v>310</v>
      </c>
      <c r="C1584" s="2" t="str">
        <f>HYPERLINK("http://snap.windin.com/ns/bulletin.php?id=18487742&amp;type=1", "世纪华通:首次公开发行股票并上市招股意向书")</f>
        <v>世纪华通:首次公开发行股票并上市招股意向书</v>
      </c>
    </row>
    <row r="1585" spans="1:3" x14ac:dyDescent="0.15">
      <c r="A1585" s="1">
        <v>40729</v>
      </c>
      <c r="B1585" t="s">
        <v>324</v>
      </c>
      <c r="C1585" s="2" t="str">
        <f>HYPERLINK("http://snap.windin.com/ns/bulletin.php?id=2121252&amp;type=1", "冠昊生物:首次公开发行股票并在创业板上市公告书提示性公告")</f>
        <v>冠昊生物:首次公开发行股票并在创业板上市公告书提示性公告</v>
      </c>
    </row>
    <row r="1586" spans="1:3" x14ac:dyDescent="0.15">
      <c r="A1586" s="1">
        <v>40729</v>
      </c>
      <c r="B1586" t="s">
        <v>310</v>
      </c>
      <c r="C1586" s="2" t="str">
        <f>HYPERLINK("http://snap.windin.com/ns/bulletin.php?id=2120970&amp;type=1", "世纪华通:首次公开发行股票招股意向书")</f>
        <v>世纪华通:首次公开发行股票招股意向书</v>
      </c>
    </row>
    <row r="1587" spans="1:3" x14ac:dyDescent="0.15">
      <c r="A1587" s="1">
        <v>40729</v>
      </c>
      <c r="B1587" t="s">
        <v>316</v>
      </c>
      <c r="C1587" s="2" t="str">
        <f>HYPERLINK("http://snap.windin.com/ns/bulletin.php?id=2019338&amp;type=1", "佰利联:首次公开发行股票招股说明书")</f>
        <v>佰利联:首次公开发行股票招股说明书</v>
      </c>
    </row>
    <row r="1588" spans="1:3" x14ac:dyDescent="0.15">
      <c r="A1588" s="1">
        <v>40729</v>
      </c>
      <c r="B1588" t="s">
        <v>324</v>
      </c>
      <c r="C1588" s="2" t="str">
        <f>HYPERLINK("http://snap.windin.com/ns/bulletin.php?id=1954024&amp;type=1", "冠昊生物:首次公开发行股票并在创业板上市上市公告书")</f>
        <v>冠昊生物:首次公开发行股票并在创业板上市上市公告书</v>
      </c>
    </row>
    <row r="1589" spans="1:3" x14ac:dyDescent="0.15">
      <c r="A1589" s="1">
        <v>40729</v>
      </c>
      <c r="B1589" t="s">
        <v>310</v>
      </c>
      <c r="C1589" s="2" t="str">
        <f>HYPERLINK("http://snap.windin.com/ns/bulletin.php?id=1892418&amp;type=1", "世纪华通:首次公开发行股票招股意向书摘要")</f>
        <v>世纪华通:首次公开发行股票招股意向书摘要</v>
      </c>
    </row>
    <row r="1590" spans="1:3" x14ac:dyDescent="0.15">
      <c r="A1590" s="1">
        <v>40729</v>
      </c>
      <c r="B1590" t="s">
        <v>315</v>
      </c>
      <c r="C1590" s="2" t="str">
        <f>HYPERLINK("http://snap.windin.com/ns/bulletin.php?id=1815597&amp;type=1", "江粉磁材:首次公开发行股票招股说明书")</f>
        <v>江粉磁材:首次公开发行股票招股说明书</v>
      </c>
    </row>
    <row r="1591" spans="1:3" x14ac:dyDescent="0.15">
      <c r="A1591" s="1">
        <v>40729</v>
      </c>
      <c r="B1591" t="s">
        <v>317</v>
      </c>
      <c r="C1591" s="2" t="str">
        <f>HYPERLINK("http://snap.windin.com/ns/bulletin.php?id=1652455&amp;type=1", "盛通股份:首次公开发行股票招股说明书摘要")</f>
        <v>盛通股份:首次公开发行股票招股说明书摘要</v>
      </c>
    </row>
    <row r="1592" spans="1:3" x14ac:dyDescent="0.15">
      <c r="A1592" s="1">
        <v>40729</v>
      </c>
      <c r="B1592" t="s">
        <v>325</v>
      </c>
      <c r="C1592" s="2" t="str">
        <f>HYPERLINK("http://snap.windin.com/ns/bulletin.php?id=1632875&amp;type=1", "飞力达:首次公开发行股票并在创业板上市公告书提示性公告")</f>
        <v>飞力达:首次公开发行股票并在创业板上市公告书提示性公告</v>
      </c>
    </row>
    <row r="1593" spans="1:3" x14ac:dyDescent="0.15">
      <c r="A1593" s="1">
        <v>40729</v>
      </c>
      <c r="B1593" t="s">
        <v>326</v>
      </c>
      <c r="C1593" s="2" t="str">
        <f>HYPERLINK("http://snap.windin.com/ns/bulletin.php?id=1585030&amp;type=1", "东宝生物:首次公开发行股票并在创业板上市上市公告书提示性公告")</f>
        <v>东宝生物:首次公开发行股票并在创业板上市上市公告书提示性公告</v>
      </c>
    </row>
    <row r="1594" spans="1:3" x14ac:dyDescent="0.15">
      <c r="A1594" s="1">
        <v>40729</v>
      </c>
      <c r="B1594" t="s">
        <v>316</v>
      </c>
      <c r="C1594" s="2" t="str">
        <f>HYPERLINK("http://snap.windin.com/ns/bulletin.php?id=1110139&amp;type=1", "佰利联:首次公开发行股票招股说明书摘要")</f>
        <v>佰利联:首次公开发行股票招股说明书摘要</v>
      </c>
    </row>
    <row r="1595" spans="1:3" x14ac:dyDescent="0.15">
      <c r="A1595" s="1">
        <v>40729</v>
      </c>
      <c r="B1595" t="s">
        <v>325</v>
      </c>
      <c r="C1595" s="2" t="str">
        <f>HYPERLINK("http://snap.windin.com/ns/bulletin.php?id=600457&amp;type=1", "飞力达:首次公开发行股票并在创业板上市公告书")</f>
        <v>飞力达:首次公开发行股票并在创业板上市公告书</v>
      </c>
    </row>
    <row r="1596" spans="1:3" x14ac:dyDescent="0.15">
      <c r="A1596" s="1">
        <v>40729</v>
      </c>
      <c r="B1596" t="s">
        <v>326</v>
      </c>
      <c r="C1596" s="2" t="str">
        <f>HYPERLINK("http://snap.windin.com/ns/bulletin.php?id=586086&amp;type=1", "东宝生物:首次公开发行股票并在创业板上市之上市公告书")</f>
        <v>东宝生物:首次公开发行股票并在创业板上市之上市公告书</v>
      </c>
    </row>
    <row r="1597" spans="1:3" x14ac:dyDescent="0.15">
      <c r="A1597" s="1">
        <v>40729</v>
      </c>
      <c r="B1597" t="s">
        <v>317</v>
      </c>
      <c r="C1597" s="2" t="str">
        <f>HYPERLINK("http://snap.windin.com/ns/bulletin.php?id=527532&amp;type=1", "盛通股份:首次公开发行股票招股说明书")</f>
        <v>盛通股份:首次公开发行股票招股说明书</v>
      </c>
    </row>
    <row r="1598" spans="1:3" x14ac:dyDescent="0.15">
      <c r="A1598" s="1">
        <v>40729</v>
      </c>
      <c r="B1598" t="s">
        <v>315</v>
      </c>
      <c r="C1598" s="2" t="str">
        <f>HYPERLINK("http://snap.windin.com/ns/bulletin.php?id=197878&amp;type=1", "江粉磁材:首次公开发行股票招股说明书摘要")</f>
        <v>江粉磁材:首次公开发行股票招股说明书摘要</v>
      </c>
    </row>
    <row r="1599" spans="1:3" x14ac:dyDescent="0.15">
      <c r="A1599" s="1">
        <v>40725</v>
      </c>
      <c r="B1599" t="s">
        <v>314</v>
      </c>
      <c r="C1599" s="2" t="str">
        <f>HYPERLINK("http://snap.windin.com/ns/bulletin.php?id=19185208&amp;type=1", "迪安诊断:首次公开发行股票并在创业板上市招股意向书")</f>
        <v>迪安诊断:首次公开发行股票并在创业板上市招股意向书</v>
      </c>
    </row>
    <row r="1600" spans="1:3" x14ac:dyDescent="0.15">
      <c r="A1600" s="1">
        <v>40725</v>
      </c>
      <c r="B1600" t="s">
        <v>312</v>
      </c>
      <c r="C1600" s="2" t="str">
        <f>HYPERLINK("http://snap.windin.com/ns/bulletin.php?id=18846082&amp;type=1", "宝莱特:首次公开发行股票并在创业板上市招股意向书")</f>
        <v>宝莱特:首次公开发行股票并在创业板上市招股意向书</v>
      </c>
    </row>
    <row r="1601" spans="1:3" x14ac:dyDescent="0.15">
      <c r="A1601" s="1">
        <v>40725</v>
      </c>
      <c r="B1601" t="s">
        <v>313</v>
      </c>
      <c r="C1601" s="2" t="str">
        <f>HYPERLINK("http://snap.windin.com/ns/bulletin.php?id=18557752&amp;type=1", "天玑科技:首次公开发行股票并在创业板上市招股意向书")</f>
        <v>天玑科技:首次公开发行股票并在创业板上市招股意向书</v>
      </c>
    </row>
    <row r="1602" spans="1:3" x14ac:dyDescent="0.15">
      <c r="A1602" s="1">
        <v>40725</v>
      </c>
      <c r="B1602" t="s">
        <v>314</v>
      </c>
      <c r="C1602" s="2" t="str">
        <f>HYPERLINK("http://snap.windin.com/ns/bulletin.php?id=18535422&amp;type=1", "迪安诊断:首次公开发行股票并在创业板上市招股意向书")</f>
        <v>迪安诊断:首次公开发行股票并在创业板上市招股意向书</v>
      </c>
    </row>
    <row r="1603" spans="1:3" x14ac:dyDescent="0.15">
      <c r="A1603" s="1">
        <v>40725</v>
      </c>
      <c r="B1603" t="s">
        <v>319</v>
      </c>
      <c r="C1603" s="2" t="str">
        <f>HYPERLINK("http://snap.windin.com/ns/bulletin.php?id=1508990&amp;type=1", "明家科技:首次公开发行股票并在创业板上市招股说明书")</f>
        <v>明家科技:首次公开发行股票并在创业板上市招股说明书</v>
      </c>
    </row>
    <row r="1604" spans="1:3" x14ac:dyDescent="0.15">
      <c r="A1604" s="1">
        <v>40725</v>
      </c>
      <c r="B1604" t="s">
        <v>312</v>
      </c>
      <c r="C1604" s="2" t="str">
        <f>HYPERLINK("http://snap.windin.com/ns/bulletin.php?id=1427607&amp;type=1", "宝莱特:首次公开发行股票并在创业板上市招股意向书")</f>
        <v>宝莱特:首次公开发行股票并在创业板上市招股意向书</v>
      </c>
    </row>
    <row r="1605" spans="1:3" x14ac:dyDescent="0.15">
      <c r="A1605" s="1">
        <v>40725</v>
      </c>
      <c r="B1605" t="s">
        <v>318</v>
      </c>
      <c r="C1605" s="2" t="str">
        <f>HYPERLINK("http://snap.windin.com/ns/bulletin.php?id=1390101&amp;type=1", "瑞丰高材:首次公开发行股票并在创业板上市招股说明书")</f>
        <v>瑞丰高材:首次公开发行股票并在创业板上市招股说明书</v>
      </c>
    </row>
    <row r="1606" spans="1:3" x14ac:dyDescent="0.15">
      <c r="A1606" s="1">
        <v>40725</v>
      </c>
      <c r="B1606" t="s">
        <v>320</v>
      </c>
      <c r="C1606" s="2" t="str">
        <f>HYPERLINK("http://snap.windin.com/ns/bulletin.php?id=1169257&amp;type=1", "瑞丰光电:首次公开发行股票并在创业板上市招股说明书")</f>
        <v>瑞丰光电:首次公开发行股票并在创业板上市招股说明书</v>
      </c>
    </row>
    <row r="1607" spans="1:3" x14ac:dyDescent="0.15">
      <c r="A1607" s="1">
        <v>40725</v>
      </c>
      <c r="B1607" t="s">
        <v>314</v>
      </c>
      <c r="C1607" s="2" t="str">
        <f>HYPERLINK("http://snap.windin.com/ns/bulletin.php?id=922036&amp;type=1", "迪安诊断:首次公开发行股票并在创业板上市招股意向书")</f>
        <v>迪安诊断:首次公开发行股票并在创业板上市招股意向书</v>
      </c>
    </row>
    <row r="1608" spans="1:3" x14ac:dyDescent="0.15">
      <c r="A1608" s="1">
        <v>40725</v>
      </c>
      <c r="B1608" t="s">
        <v>313</v>
      </c>
      <c r="C1608" s="2" t="str">
        <f>HYPERLINK("http://snap.windin.com/ns/bulletin.php?id=522494&amp;type=1", "天玑科技:首次公开发行股票并在创业板上市招股意向书")</f>
        <v>天玑科技:首次公开发行股票并在创业板上市招股意向书</v>
      </c>
    </row>
    <row r="1609" spans="1:3" x14ac:dyDescent="0.15">
      <c r="A1609" s="1">
        <v>40723</v>
      </c>
      <c r="B1609" t="s">
        <v>327</v>
      </c>
      <c r="C1609" s="2" t="str">
        <f>HYPERLINK("http://snap.windin.com/ns/bulletin.php?id=2083826&amp;type=1", "赛轮股份:首次公开发行股票招股说明书")</f>
        <v>赛轮股份:首次公开发行股票招股说明书</v>
      </c>
    </row>
    <row r="1610" spans="1:3" x14ac:dyDescent="0.15">
      <c r="A1610" s="1">
        <v>40723</v>
      </c>
      <c r="B1610" t="s">
        <v>327</v>
      </c>
      <c r="C1610" s="2" t="str">
        <f>HYPERLINK("http://snap.windin.com/ns/bulletin.php?id=1735789&amp;type=1", "赛轮股份:首次公开发行A股股票上市公告书")</f>
        <v>赛轮股份:首次公开发行A股股票上市公告书</v>
      </c>
    </row>
    <row r="1611" spans="1:3" x14ac:dyDescent="0.15">
      <c r="A1611" s="1">
        <v>40723</v>
      </c>
      <c r="B1611" t="s">
        <v>328</v>
      </c>
      <c r="C1611" s="2" t="str">
        <f>HYPERLINK("http://snap.windin.com/ns/bulletin.php?id=542649&amp;type=1", "比亚迪:首次公开发行股票上市公告书")</f>
        <v>比亚迪:首次公开发行股票上市公告书</v>
      </c>
    </row>
    <row r="1612" spans="1:3" x14ac:dyDescent="0.15">
      <c r="A1612" s="1">
        <v>40722</v>
      </c>
      <c r="B1612" t="s">
        <v>317</v>
      </c>
      <c r="C1612" s="2" t="str">
        <f>HYPERLINK("http://snap.windin.com/ns/bulletin.php?id=19282754&amp;type=1", "盛通股份:首次公开发行股票招股意向书")</f>
        <v>盛通股份:首次公开发行股票招股意向书</v>
      </c>
    </row>
    <row r="1613" spans="1:3" x14ac:dyDescent="0.15">
      <c r="A1613" s="1">
        <v>40722</v>
      </c>
      <c r="B1613" t="s">
        <v>315</v>
      </c>
      <c r="C1613" s="2" t="str">
        <f>HYPERLINK("http://snap.windin.com/ns/bulletin.php?id=19138148&amp;type=1", "江粉磁材:首次公开发行股票招股意向书")</f>
        <v>江粉磁材:首次公开发行股票招股意向书</v>
      </c>
    </row>
    <row r="1614" spans="1:3" x14ac:dyDescent="0.15">
      <c r="A1614" s="1">
        <v>40722</v>
      </c>
      <c r="B1614" t="s">
        <v>317</v>
      </c>
      <c r="C1614" s="2" t="str">
        <f>HYPERLINK("http://snap.windin.com/ns/bulletin.php?id=18564364&amp;type=1", "盛通股份:首次公开发行股票招股意向书")</f>
        <v>盛通股份:首次公开发行股票招股意向书</v>
      </c>
    </row>
    <row r="1615" spans="1:3" x14ac:dyDescent="0.15">
      <c r="A1615" s="1">
        <v>40722</v>
      </c>
      <c r="B1615" t="s">
        <v>316</v>
      </c>
      <c r="C1615" s="2" t="str">
        <f>HYPERLINK("http://snap.windin.com/ns/bulletin.php?id=18516138&amp;type=1", "佰利联:首次公开发行股票招股意向书")</f>
        <v>佰利联:首次公开发行股票招股意向书</v>
      </c>
    </row>
    <row r="1616" spans="1:3" x14ac:dyDescent="0.15">
      <c r="A1616" s="1">
        <v>40722</v>
      </c>
      <c r="B1616" t="s">
        <v>316</v>
      </c>
      <c r="C1616" s="2" t="str">
        <f>HYPERLINK("http://snap.windin.com/ns/bulletin.php?id=18428632&amp;type=1", "佰利联:首次公开发行股票招股意向书")</f>
        <v>佰利联:首次公开发行股票招股意向书</v>
      </c>
    </row>
    <row r="1617" spans="1:3" x14ac:dyDescent="0.15">
      <c r="A1617" s="1">
        <v>40722</v>
      </c>
      <c r="B1617" t="s">
        <v>321</v>
      </c>
      <c r="C1617" s="2" t="str">
        <f>HYPERLINK("http://snap.windin.com/ns/bulletin.php?id=1992114&amp;type=1", "金禾实业:首次公开发行股票招股说明书摘要")</f>
        <v>金禾实业:首次公开发行股票招股说明书摘要</v>
      </c>
    </row>
    <row r="1618" spans="1:3" x14ac:dyDescent="0.15">
      <c r="A1618" s="1">
        <v>40722</v>
      </c>
      <c r="B1618" t="s">
        <v>317</v>
      </c>
      <c r="C1618" s="2" t="str">
        <f>HYPERLINK("http://snap.windin.com/ns/bulletin.php?id=1959010&amp;type=1", "盛通股份:首次公开发行股票招股意向书")</f>
        <v>盛通股份:首次公开发行股票招股意向书</v>
      </c>
    </row>
    <row r="1619" spans="1:3" x14ac:dyDescent="0.15">
      <c r="A1619" s="1">
        <v>40722</v>
      </c>
      <c r="B1619" t="s">
        <v>322</v>
      </c>
      <c r="C1619" s="2" t="str">
        <f>HYPERLINK("http://snap.windin.com/ns/bulletin.php?id=1837193&amp;type=1", "山东章鼓:首次公开发行股票招股说明书摘要")</f>
        <v>山东章鼓:首次公开发行股票招股说明书摘要</v>
      </c>
    </row>
    <row r="1620" spans="1:3" x14ac:dyDescent="0.15">
      <c r="A1620" s="1">
        <v>40722</v>
      </c>
      <c r="B1620" t="s">
        <v>316</v>
      </c>
      <c r="C1620" s="2" t="str">
        <f>HYPERLINK("http://snap.windin.com/ns/bulletin.php?id=1658270&amp;type=1", "佰利联:首次公开发行股票招股意向书摘要")</f>
        <v>佰利联:首次公开发行股票招股意向书摘要</v>
      </c>
    </row>
    <row r="1621" spans="1:3" x14ac:dyDescent="0.15">
      <c r="A1621" s="1">
        <v>40722</v>
      </c>
      <c r="B1621" t="s">
        <v>315</v>
      </c>
      <c r="C1621" s="2" t="str">
        <f>HYPERLINK("http://snap.windin.com/ns/bulletin.php?id=1536747&amp;type=1", "江粉磁材:首次公开发行股票招股意向书摘要")</f>
        <v>江粉磁材:首次公开发行股票招股意向书摘要</v>
      </c>
    </row>
    <row r="1622" spans="1:3" x14ac:dyDescent="0.15">
      <c r="A1622" s="1">
        <v>40722</v>
      </c>
      <c r="B1622" t="s">
        <v>317</v>
      </c>
      <c r="C1622" s="2" t="str">
        <f>HYPERLINK("http://snap.windin.com/ns/bulletin.php?id=1478449&amp;type=1", "盛通股份:首次公开发行股票招股意向书摘要")</f>
        <v>盛通股份:首次公开发行股票招股意向书摘要</v>
      </c>
    </row>
    <row r="1623" spans="1:3" x14ac:dyDescent="0.15">
      <c r="A1623" s="1">
        <v>40722</v>
      </c>
      <c r="B1623" t="s">
        <v>316</v>
      </c>
      <c r="C1623" s="2" t="str">
        <f>HYPERLINK("http://snap.windin.com/ns/bulletin.php?id=1427303&amp;type=1", "佰利联:首次公开发行股票招股意向书")</f>
        <v>佰利联:首次公开发行股票招股意向书</v>
      </c>
    </row>
    <row r="1624" spans="1:3" x14ac:dyDescent="0.15">
      <c r="A1624" s="1">
        <v>40722</v>
      </c>
      <c r="B1624" t="s">
        <v>329</v>
      </c>
      <c r="C1624" s="2" t="str">
        <f>HYPERLINK("http://snap.windin.com/ns/bulletin.php?id=1364164&amp;type=1", "上海新阳:首次公开发行股票并在创业板上市公告书提示性公告")</f>
        <v>上海新阳:首次公开发行股票并在创业板上市公告书提示性公告</v>
      </c>
    </row>
    <row r="1625" spans="1:3" x14ac:dyDescent="0.15">
      <c r="A1625" s="1">
        <v>40722</v>
      </c>
      <c r="B1625" t="s">
        <v>330</v>
      </c>
      <c r="C1625" s="2" t="str">
        <f>HYPERLINK("http://snap.windin.com/ns/bulletin.php?id=1206585&amp;type=1", "方直科技:首次公开发行股票并在创业板上市公告书")</f>
        <v>方直科技:首次公开发行股票并在创业板上市公告书</v>
      </c>
    </row>
    <row r="1626" spans="1:3" x14ac:dyDescent="0.15">
      <c r="A1626" s="1">
        <v>40722</v>
      </c>
      <c r="B1626" t="s">
        <v>330</v>
      </c>
      <c r="C1626" s="2" t="str">
        <f>HYPERLINK("http://snap.windin.com/ns/bulletin.php?id=1142714&amp;type=1", "方直科技:首次公开发行股票并在创业板上市公告书提示性公告")</f>
        <v>方直科技:首次公开发行股票并在创业板上市公告书提示性公告</v>
      </c>
    </row>
    <row r="1627" spans="1:3" x14ac:dyDescent="0.15">
      <c r="A1627" s="1">
        <v>40722</v>
      </c>
      <c r="B1627" t="s">
        <v>331</v>
      </c>
      <c r="C1627" s="2" t="str">
        <f>HYPERLINK("http://snap.windin.com/ns/bulletin.php?id=1101578&amp;type=1", "美晨科技:首次公开发行股票并在创业板上市上市公告书提示性公告")</f>
        <v>美晨科技:首次公开发行股票并在创业板上市上市公告书提示性公告</v>
      </c>
    </row>
    <row r="1628" spans="1:3" x14ac:dyDescent="0.15">
      <c r="A1628" s="1">
        <v>40722</v>
      </c>
      <c r="B1628" t="s">
        <v>331</v>
      </c>
      <c r="C1628" s="2" t="str">
        <f>HYPERLINK("http://snap.windin.com/ns/bulletin.php?id=1097160&amp;type=1", "美晨科技:首次公开发行股票并在创业板上市公告书")</f>
        <v>美晨科技:首次公开发行股票并在创业板上市公告书</v>
      </c>
    </row>
    <row r="1629" spans="1:3" x14ac:dyDescent="0.15">
      <c r="A1629" s="1">
        <v>40722</v>
      </c>
      <c r="B1629" t="s">
        <v>329</v>
      </c>
      <c r="C1629" s="2" t="str">
        <f>HYPERLINK("http://snap.windin.com/ns/bulletin.php?id=1044530&amp;type=1", "上海新阳:首次公开发行股票上市公告书")</f>
        <v>上海新阳:首次公开发行股票上市公告书</v>
      </c>
    </row>
    <row r="1630" spans="1:3" x14ac:dyDescent="0.15">
      <c r="A1630" s="1">
        <v>40722</v>
      </c>
      <c r="B1630" t="s">
        <v>322</v>
      </c>
      <c r="C1630" s="2" t="str">
        <f>HYPERLINK("http://snap.windin.com/ns/bulletin.php?id=946238&amp;type=1", "山东章鼓:首次公开发行股票招股说明书")</f>
        <v>山东章鼓:首次公开发行股票招股说明书</v>
      </c>
    </row>
    <row r="1631" spans="1:3" x14ac:dyDescent="0.15">
      <c r="A1631" s="1">
        <v>40722</v>
      </c>
      <c r="B1631" t="s">
        <v>315</v>
      </c>
      <c r="C1631" s="2" t="str">
        <f>HYPERLINK("http://snap.windin.com/ns/bulletin.php?id=160022&amp;type=1", "江粉磁材:首次公开发行股票招股意向书")</f>
        <v>江粉磁材:首次公开发行股票招股意向书</v>
      </c>
    </row>
    <row r="1632" spans="1:3" x14ac:dyDescent="0.15">
      <c r="A1632" s="1">
        <v>40722</v>
      </c>
      <c r="B1632" t="s">
        <v>321</v>
      </c>
      <c r="C1632" s="2" t="str">
        <f>HYPERLINK("http://snap.windin.com/ns/bulletin.php?id=147273&amp;type=1", "金禾实业:首次公开发行股票招股说明书")</f>
        <v>金禾实业:首次公开发行股票招股说明书</v>
      </c>
    </row>
    <row r="1633" spans="1:3" x14ac:dyDescent="0.15">
      <c r="A1633" s="1">
        <v>40721</v>
      </c>
      <c r="B1633" t="s">
        <v>332</v>
      </c>
      <c r="C1633" s="2" t="str">
        <f>HYPERLINK("http://snap.windin.com/ns/bulletin.php?id=1247280&amp;type=1", "豪迈科技:首次公开发行股票上市公告书")</f>
        <v>豪迈科技:首次公开发行股票上市公告书</v>
      </c>
    </row>
    <row r="1634" spans="1:3" x14ac:dyDescent="0.15">
      <c r="A1634" s="1">
        <v>40721</v>
      </c>
      <c r="B1634" t="s">
        <v>333</v>
      </c>
      <c r="C1634" s="2" t="str">
        <f>HYPERLINK("http://snap.windin.com/ns/bulletin.php?id=1090362&amp;type=1", "日上集团:首次公开发行股票上市公告书")</f>
        <v>日上集团:首次公开发行股票上市公告书</v>
      </c>
    </row>
    <row r="1635" spans="1:3" x14ac:dyDescent="0.15">
      <c r="A1635" s="1">
        <v>40718</v>
      </c>
      <c r="B1635" t="s">
        <v>320</v>
      </c>
      <c r="C1635" s="2" t="str">
        <f>HYPERLINK("http://snap.windin.com/ns/bulletin.php?id=18535990&amp;type=1", "瑞丰光电:首次公开发行股票并在创业板上市招股意向书")</f>
        <v>瑞丰光电:首次公开发行股票并在创业板上市招股意向书</v>
      </c>
    </row>
    <row r="1636" spans="1:3" x14ac:dyDescent="0.15">
      <c r="A1636" s="1">
        <v>40718</v>
      </c>
      <c r="B1636" t="s">
        <v>320</v>
      </c>
      <c r="C1636" s="2" t="str">
        <f>HYPERLINK("http://snap.windin.com/ns/bulletin.php?id=2108326&amp;type=1", "瑞丰光电:首次公开发行股票并在创业板上市招股意向书")</f>
        <v>瑞丰光电:首次公开发行股票并在创业板上市招股意向书</v>
      </c>
    </row>
    <row r="1637" spans="1:3" x14ac:dyDescent="0.15">
      <c r="A1637" s="1">
        <v>40718</v>
      </c>
      <c r="B1637" t="s">
        <v>318</v>
      </c>
      <c r="C1637" s="2" t="str">
        <f>HYPERLINK("http://snap.windin.com/ns/bulletin.php?id=2017348&amp;type=1", "瑞丰高材:首次公开发行股票并在创业板上市招股意向书")</f>
        <v>瑞丰高材:首次公开发行股票并在创业板上市招股意向书</v>
      </c>
    </row>
    <row r="1638" spans="1:3" x14ac:dyDescent="0.15">
      <c r="A1638" s="1">
        <v>40718</v>
      </c>
      <c r="B1638" t="s">
        <v>319</v>
      </c>
      <c r="C1638" s="2" t="str">
        <f>HYPERLINK("http://snap.windin.com/ns/bulletin.php?id=1934948&amp;type=1", "明家科技:首次公开发行股票并在创业板上市招股意向书")</f>
        <v>明家科技:首次公开发行股票并在创业板上市招股意向书</v>
      </c>
    </row>
    <row r="1639" spans="1:3" x14ac:dyDescent="0.15">
      <c r="A1639" s="1">
        <v>40718</v>
      </c>
      <c r="B1639" t="s">
        <v>326</v>
      </c>
      <c r="C1639" s="2" t="str">
        <f>HYPERLINK("http://snap.windin.com/ns/bulletin.php?id=1697923&amp;type=1", "东宝生物:首次公开发行股票并在创业板上市招股说明书")</f>
        <v>东宝生物:首次公开发行股票并在创业板上市招股说明书</v>
      </c>
    </row>
    <row r="1640" spans="1:3" x14ac:dyDescent="0.15">
      <c r="A1640" s="1">
        <v>40718</v>
      </c>
      <c r="B1640" t="s">
        <v>325</v>
      </c>
      <c r="C1640" s="2" t="str">
        <f>HYPERLINK("http://snap.windin.com/ns/bulletin.php?id=1556743&amp;type=1", "飞力达:首次公开发行股票并在创业板上市招股说明书")</f>
        <v>飞力达:首次公开发行股票并在创业板上市招股说明书</v>
      </c>
    </row>
    <row r="1641" spans="1:3" x14ac:dyDescent="0.15">
      <c r="A1641" s="1">
        <v>40718</v>
      </c>
      <c r="B1641" t="s">
        <v>324</v>
      </c>
      <c r="C1641" s="2" t="str">
        <f>HYPERLINK("http://snap.windin.com/ns/bulletin.php?id=822610&amp;type=1", "冠昊生物:首次公开发行股票并在创业板上市招股说明书")</f>
        <v>冠昊生物:首次公开发行股票并在创业板上市招股说明书</v>
      </c>
    </row>
    <row r="1642" spans="1:3" x14ac:dyDescent="0.15">
      <c r="A1642" s="1">
        <v>40715</v>
      </c>
      <c r="B1642" t="s">
        <v>321</v>
      </c>
      <c r="C1642" s="2" t="str">
        <f>HYPERLINK("http://snap.windin.com/ns/bulletin.php?id=19376000&amp;type=1", "金禾实业:首次公开发行股票招股意向书")</f>
        <v>金禾实业:首次公开发行股票招股意向书</v>
      </c>
    </row>
    <row r="1643" spans="1:3" x14ac:dyDescent="0.15">
      <c r="A1643" s="1">
        <v>40715</v>
      </c>
      <c r="B1643" t="s">
        <v>322</v>
      </c>
      <c r="C1643" s="2" t="str">
        <f>HYPERLINK("http://snap.windin.com/ns/bulletin.php?id=18963028&amp;type=1", "山东章鼓:首次公开发行股票招股意向书")</f>
        <v>山东章鼓:首次公开发行股票招股意向书</v>
      </c>
    </row>
    <row r="1644" spans="1:3" x14ac:dyDescent="0.15">
      <c r="A1644" s="1">
        <v>40715</v>
      </c>
      <c r="B1644" t="s">
        <v>334</v>
      </c>
      <c r="C1644" s="2" t="str">
        <f>HYPERLINK("http://snap.windin.com/ns/bulletin.php?id=2115011&amp;type=1", "洲明科技:首次公开发行股票并在创业板上市公告书提示性公告")</f>
        <v>洲明科技:首次公开发行股票并在创业板上市公告书提示性公告</v>
      </c>
    </row>
    <row r="1645" spans="1:3" x14ac:dyDescent="0.15">
      <c r="A1645" s="1">
        <v>40715</v>
      </c>
      <c r="B1645" t="s">
        <v>321</v>
      </c>
      <c r="C1645" s="2" t="str">
        <f>HYPERLINK("http://snap.windin.com/ns/bulletin.php?id=1924335&amp;type=1", "金禾实业:首次公开发行股票招股意向书摘要")</f>
        <v>金禾实业:首次公开发行股票招股意向书摘要</v>
      </c>
    </row>
    <row r="1646" spans="1:3" x14ac:dyDescent="0.15">
      <c r="A1646" s="1">
        <v>40715</v>
      </c>
      <c r="B1646" t="s">
        <v>335</v>
      </c>
      <c r="C1646" s="2" t="str">
        <f>HYPERLINK("http://snap.windin.com/ns/bulletin.php?id=1726713&amp;type=1", "开尔新材:首次公开发行股票并在创业板上市之上市公告书")</f>
        <v>开尔新材:首次公开发行股票并在创业板上市之上市公告书</v>
      </c>
    </row>
    <row r="1647" spans="1:3" x14ac:dyDescent="0.15">
      <c r="A1647" s="1">
        <v>40715</v>
      </c>
      <c r="B1647" t="s">
        <v>322</v>
      </c>
      <c r="C1647" s="2" t="str">
        <f>HYPERLINK("http://snap.windin.com/ns/bulletin.php?id=1726210&amp;type=1", "山东章鼓:首次公开发行股票招股意向书")</f>
        <v>山东章鼓:首次公开发行股票招股意向书</v>
      </c>
    </row>
    <row r="1648" spans="1:3" x14ac:dyDescent="0.15">
      <c r="A1648" s="1">
        <v>40715</v>
      </c>
      <c r="B1648" t="s">
        <v>323</v>
      </c>
      <c r="C1648" s="2" t="str">
        <f>HYPERLINK("http://snap.windin.com/ns/bulletin.php?id=1628809&amp;type=1", "海南瑞泽:首次公开发行股票招股说明书")</f>
        <v>海南瑞泽:首次公开发行股票招股说明书</v>
      </c>
    </row>
    <row r="1649" spans="1:3" x14ac:dyDescent="0.15">
      <c r="A1649" s="1">
        <v>40715</v>
      </c>
      <c r="B1649" t="s">
        <v>321</v>
      </c>
      <c r="C1649" s="2" t="str">
        <f>HYPERLINK("http://snap.windin.com/ns/bulletin.php?id=1509130&amp;type=1", "金禾实业:首次公开发行股票招股意向书")</f>
        <v>金禾实业:首次公开发行股票招股意向书</v>
      </c>
    </row>
    <row r="1650" spans="1:3" x14ac:dyDescent="0.15">
      <c r="A1650" s="1">
        <v>40715</v>
      </c>
      <c r="B1650" t="s">
        <v>323</v>
      </c>
      <c r="C1650" s="2" t="str">
        <f>HYPERLINK("http://snap.windin.com/ns/bulletin.php?id=1151915&amp;type=1", "海南瑞泽:首次公开发行股票招股说明书摘要")</f>
        <v>海南瑞泽:首次公开发行股票招股说明书摘要</v>
      </c>
    </row>
    <row r="1651" spans="1:3" x14ac:dyDescent="0.15">
      <c r="A1651" s="1">
        <v>40715</v>
      </c>
      <c r="B1651" t="s">
        <v>322</v>
      </c>
      <c r="C1651" s="2" t="str">
        <f>HYPERLINK("http://snap.windin.com/ns/bulletin.php?id=932434&amp;type=1", "山东章鼓:首次公开发行股票招股意向书摘要")</f>
        <v>山东章鼓:首次公开发行股票招股意向书摘要</v>
      </c>
    </row>
    <row r="1652" spans="1:3" x14ac:dyDescent="0.15">
      <c r="A1652" s="1">
        <v>40715</v>
      </c>
      <c r="B1652" t="s">
        <v>334</v>
      </c>
      <c r="C1652" s="2" t="str">
        <f>HYPERLINK("http://snap.windin.com/ns/bulletin.php?id=760218&amp;type=1", "洲明科技:首次公开发行股票上市公告书")</f>
        <v>洲明科技:首次公开发行股票上市公告书</v>
      </c>
    </row>
    <row r="1653" spans="1:3" x14ac:dyDescent="0.15">
      <c r="A1653" s="1">
        <v>40715</v>
      </c>
      <c r="B1653" t="s">
        <v>336</v>
      </c>
      <c r="C1653" s="2" t="str">
        <f>HYPERLINK("http://snap.windin.com/ns/bulletin.php?id=718731&amp;type=1", "金城医药:首次公开发行股票并在创业板上市之上市公告书提示性公告")</f>
        <v>金城医药:首次公开发行股票并在创业板上市之上市公告书提示性公告</v>
      </c>
    </row>
    <row r="1654" spans="1:3" x14ac:dyDescent="0.15">
      <c r="A1654" s="1">
        <v>40715</v>
      </c>
      <c r="B1654" t="s">
        <v>337</v>
      </c>
      <c r="C1654" s="2" t="str">
        <f>HYPERLINK("http://snap.windin.com/ns/bulletin.php?id=185586&amp;type=1", "蓝科高新:首次公开发行股票招股说明书")</f>
        <v>蓝科高新:首次公开发行股票招股说明书</v>
      </c>
    </row>
    <row r="1655" spans="1:3" x14ac:dyDescent="0.15">
      <c r="A1655" s="1">
        <v>40715</v>
      </c>
      <c r="B1655" t="s">
        <v>337</v>
      </c>
      <c r="C1655" s="2" t="str">
        <f>HYPERLINK("http://snap.windin.com/ns/bulletin.php?id=84360&amp;type=1", "蓝科高新:首次公开发行A股股票上市公告书")</f>
        <v>蓝科高新:首次公开发行A股股票上市公告书</v>
      </c>
    </row>
    <row r="1656" spans="1:3" x14ac:dyDescent="0.15">
      <c r="A1656" s="1">
        <v>40715</v>
      </c>
      <c r="B1656" t="s">
        <v>336</v>
      </c>
      <c r="C1656" s="2" t="str">
        <f>HYPERLINK("http://snap.windin.com/ns/bulletin.php?id=72972&amp;type=1", "金城医药:首次公开发行股票并在创业板上市之上市公告书")</f>
        <v>金城医药:首次公开发行股票并在创业板上市之上市公告书</v>
      </c>
    </row>
    <row r="1657" spans="1:3" x14ac:dyDescent="0.15">
      <c r="A1657" s="1">
        <v>40714</v>
      </c>
      <c r="B1657" t="s">
        <v>338</v>
      </c>
      <c r="C1657" s="2" t="str">
        <f>HYPERLINK("http://snap.windin.com/ns/bulletin.php?id=1070956&amp;type=1", "恒大高新:首次公开发行股票上市公告书")</f>
        <v>恒大高新:首次公开发行股票上市公告书</v>
      </c>
    </row>
    <row r="1658" spans="1:3" x14ac:dyDescent="0.15">
      <c r="A1658" s="1">
        <v>40714</v>
      </c>
      <c r="B1658" t="s">
        <v>328</v>
      </c>
      <c r="C1658" s="2" t="str">
        <f>HYPERLINK("http://snap.windin.com/ns/bulletin.php?id=837078&amp;type=1", "比亚迪:首次公开发行A股股票招股说明书摘要")</f>
        <v>比亚迪:首次公开发行A股股票招股说明书摘要</v>
      </c>
    </row>
    <row r="1659" spans="1:3" x14ac:dyDescent="0.15">
      <c r="A1659" s="1">
        <v>40714</v>
      </c>
      <c r="B1659" t="s">
        <v>328</v>
      </c>
      <c r="C1659" s="2" t="str">
        <f>HYPERLINK("http://snap.windin.com/ns/bulletin.php?id=827024&amp;type=1", "比亚迪:首次公开发行A股股票招股说明书")</f>
        <v>比亚迪:首次公开发行A股股票招股说明书</v>
      </c>
    </row>
    <row r="1660" spans="1:3" x14ac:dyDescent="0.15">
      <c r="A1660" s="1">
        <v>40711</v>
      </c>
      <c r="B1660" t="s">
        <v>326</v>
      </c>
      <c r="C1660" s="2" t="str">
        <f>HYPERLINK("http://snap.windin.com/ns/bulletin.php?id=19458224&amp;type=1", "东宝生物:首次公开发行股票并在创业板上市招股意向书")</f>
        <v>东宝生物:首次公开发行股票并在创业板上市招股意向书</v>
      </c>
    </row>
    <row r="1661" spans="1:3" x14ac:dyDescent="0.15">
      <c r="A1661" s="1">
        <v>40711</v>
      </c>
      <c r="B1661" t="s">
        <v>325</v>
      </c>
      <c r="C1661" s="2" t="str">
        <f>HYPERLINK("http://snap.windin.com/ns/bulletin.php?id=18448490&amp;type=1", "飞力达:首次公开发行股票并在创业板上市招股意向书")</f>
        <v>飞力达:首次公开发行股票并在创业板上市招股意向书</v>
      </c>
    </row>
    <row r="1662" spans="1:3" x14ac:dyDescent="0.15">
      <c r="A1662" s="1">
        <v>40711</v>
      </c>
      <c r="B1662" t="s">
        <v>324</v>
      </c>
      <c r="C1662" s="2" t="str">
        <f>HYPERLINK("http://snap.windin.com/ns/bulletin.php?id=18445460&amp;type=1", "冠昊生物:首次公开发行股票并在创业板上市招股意向书")</f>
        <v>冠昊生物:首次公开发行股票并在创业板上市招股意向书</v>
      </c>
    </row>
    <row r="1663" spans="1:3" x14ac:dyDescent="0.15">
      <c r="A1663" s="1">
        <v>40711</v>
      </c>
      <c r="B1663" t="s">
        <v>326</v>
      </c>
      <c r="C1663" s="2" t="str">
        <f>HYPERLINK("http://snap.windin.com/ns/bulletin.php?id=1955830&amp;type=1", "东宝生物:首次公开发行股票并在创业板上市招股意向书")</f>
        <v>东宝生物:首次公开发行股票并在创业板上市招股意向书</v>
      </c>
    </row>
    <row r="1664" spans="1:3" x14ac:dyDescent="0.15">
      <c r="A1664" s="1">
        <v>40711</v>
      </c>
      <c r="B1664" t="s">
        <v>331</v>
      </c>
      <c r="C1664" s="2" t="str">
        <f>HYPERLINK("http://snap.windin.com/ns/bulletin.php?id=1729975&amp;type=1", "美晨科技:首次公开发行股票并在创业板上市招股说明书")</f>
        <v>美晨科技:首次公开发行股票并在创业板上市招股说明书</v>
      </c>
    </row>
    <row r="1665" spans="1:3" x14ac:dyDescent="0.15">
      <c r="A1665" s="1">
        <v>40711</v>
      </c>
      <c r="B1665" t="s">
        <v>329</v>
      </c>
      <c r="C1665" s="2" t="str">
        <f>HYPERLINK("http://snap.windin.com/ns/bulletin.php?id=1460276&amp;type=1", "上海新阳:首次公开发行股票并在创业板上市招股说明书")</f>
        <v>上海新阳:首次公开发行股票并在创业板上市招股说明书</v>
      </c>
    </row>
    <row r="1666" spans="1:3" x14ac:dyDescent="0.15">
      <c r="A1666" s="1">
        <v>40711</v>
      </c>
      <c r="B1666" t="s">
        <v>330</v>
      </c>
      <c r="C1666" s="2" t="str">
        <f>HYPERLINK("http://snap.windin.com/ns/bulletin.php?id=629806&amp;type=1", "方直科技:首次公开发行股票并在创业板上市招股说明书")</f>
        <v>方直科技:首次公开发行股票并在创业板上市招股说明书</v>
      </c>
    </row>
    <row r="1667" spans="1:3" x14ac:dyDescent="0.15">
      <c r="A1667" s="1">
        <v>40711</v>
      </c>
      <c r="B1667" t="s">
        <v>324</v>
      </c>
      <c r="C1667" s="2" t="str">
        <f>HYPERLINK("http://snap.windin.com/ns/bulletin.php?id=502344&amp;type=1", "冠昊生物:首次公开发行股票并在创业板上市招股意向书")</f>
        <v>冠昊生物:首次公开发行股票并在创业板上市招股意向书</v>
      </c>
    </row>
    <row r="1668" spans="1:3" x14ac:dyDescent="0.15">
      <c r="A1668" s="1">
        <v>40711</v>
      </c>
      <c r="B1668" t="s">
        <v>325</v>
      </c>
      <c r="C1668" s="2" t="str">
        <f>HYPERLINK("http://snap.windin.com/ns/bulletin.php?id=211920&amp;type=1", "飞力达:首次公开发行股票并在创业板上市招股意向书")</f>
        <v>飞力达:首次公开发行股票并在创业板上市招股意向书</v>
      </c>
    </row>
    <row r="1669" spans="1:3" x14ac:dyDescent="0.15">
      <c r="A1669" s="1">
        <v>40709</v>
      </c>
      <c r="B1669" t="s">
        <v>333</v>
      </c>
      <c r="C1669" s="2" t="str">
        <f>HYPERLINK("http://snap.windin.com/ns/bulletin.php?id=2067236&amp;type=1", "日上集团:首次公开发行股票招股说明书摘要")</f>
        <v>日上集团:首次公开发行股票招股说明书摘要</v>
      </c>
    </row>
    <row r="1670" spans="1:3" x14ac:dyDescent="0.15">
      <c r="A1670" s="1">
        <v>40709</v>
      </c>
      <c r="B1670" t="s">
        <v>332</v>
      </c>
      <c r="C1670" s="2" t="str">
        <f>HYPERLINK("http://snap.windin.com/ns/bulletin.php?id=1689746&amp;type=1", "豪迈科技:首次公开发行股票招股说明书")</f>
        <v>豪迈科技:首次公开发行股票招股说明书</v>
      </c>
    </row>
    <row r="1671" spans="1:3" x14ac:dyDescent="0.15">
      <c r="A1671" s="1">
        <v>40709</v>
      </c>
      <c r="B1671" t="s">
        <v>333</v>
      </c>
      <c r="C1671" s="2" t="str">
        <f>HYPERLINK("http://snap.windin.com/ns/bulletin.php?id=436397&amp;type=1", "日上集团:首次公开发行股票招股说明书")</f>
        <v>日上集团:首次公开发行股票招股说明书</v>
      </c>
    </row>
    <row r="1672" spans="1:3" x14ac:dyDescent="0.15">
      <c r="A1672" s="1">
        <v>40709</v>
      </c>
      <c r="B1672" t="s">
        <v>332</v>
      </c>
      <c r="C1672" s="2" t="str">
        <f>HYPERLINK("http://snap.windin.com/ns/bulletin.php?id=113609&amp;type=1", "豪迈科技:首次公开发行股票招股说明书摘要")</f>
        <v>豪迈科技:首次公开发行股票招股说明书摘要</v>
      </c>
    </row>
    <row r="1673" spans="1:3" x14ac:dyDescent="0.15">
      <c r="A1673" s="1">
        <v>40708</v>
      </c>
      <c r="B1673" t="s">
        <v>339</v>
      </c>
      <c r="C1673" s="2" t="str">
        <f>HYPERLINK("http://snap.windin.com/ns/bulletin.php?id=1845919&amp;type=1", "拓尔思:首次公开发行股票并在创业板上市之上市公告书")</f>
        <v>拓尔思:首次公开发行股票并在创业板上市之上市公告书</v>
      </c>
    </row>
    <row r="1674" spans="1:3" x14ac:dyDescent="0.15">
      <c r="A1674" s="1">
        <v>40708</v>
      </c>
      <c r="B1674" t="s">
        <v>340</v>
      </c>
      <c r="C1674" s="2" t="str">
        <f>HYPERLINK("http://snap.windin.com/ns/bulletin.php?id=1816031&amp;type=1", "银信科技:首次公开发行股票并在创业板上市公告书")</f>
        <v>银信科技:首次公开发行股票并在创业板上市公告书</v>
      </c>
    </row>
    <row r="1675" spans="1:3" x14ac:dyDescent="0.15">
      <c r="A1675" s="1">
        <v>40708</v>
      </c>
      <c r="B1675" t="s">
        <v>339</v>
      </c>
      <c r="C1675" s="2" t="str">
        <f>HYPERLINK("http://snap.windin.com/ns/bulletin.php?id=1718760&amp;type=1", "拓尔思:首次公开发行股票并在创业板上市公告书提示性公告")</f>
        <v>拓尔思:首次公开发行股票并在创业板上市公告书提示性公告</v>
      </c>
    </row>
    <row r="1676" spans="1:3" x14ac:dyDescent="0.15">
      <c r="A1676" s="1">
        <v>40708</v>
      </c>
      <c r="B1676" t="s">
        <v>341</v>
      </c>
      <c r="C1676" s="2" t="str">
        <f>HYPERLINK("http://snap.windin.com/ns/bulletin.php?id=1361611&amp;type=1", "永利带业:首次公开发行股票并在创业板上市公告书提示性公告")</f>
        <v>永利带业:首次公开发行股票并在创业板上市公告书提示性公告</v>
      </c>
    </row>
    <row r="1677" spans="1:3" x14ac:dyDescent="0.15">
      <c r="A1677" s="1">
        <v>40708</v>
      </c>
      <c r="B1677" t="s">
        <v>342</v>
      </c>
      <c r="C1677" s="2" t="str">
        <f>HYPERLINK("http://snap.windin.com/ns/bulletin.php?id=1197831&amp;type=1", "三星电气:首次公开发行股票招股说明书")</f>
        <v>三星电气:首次公开发行股票招股说明书</v>
      </c>
    </row>
    <row r="1678" spans="1:3" x14ac:dyDescent="0.15">
      <c r="A1678" s="1">
        <v>40708</v>
      </c>
      <c r="B1678" t="s">
        <v>340</v>
      </c>
      <c r="C1678" s="2" t="str">
        <f>HYPERLINK("http://snap.windin.com/ns/bulletin.php?id=1147338&amp;type=1", "银信科技:首次公开发行股票并在创业板上市公告书提示性公告")</f>
        <v>银信科技:首次公开发行股票并在创业板上市公告书提示性公告</v>
      </c>
    </row>
    <row r="1679" spans="1:3" x14ac:dyDescent="0.15">
      <c r="A1679" s="1">
        <v>40708</v>
      </c>
      <c r="B1679" t="s">
        <v>342</v>
      </c>
      <c r="C1679" s="2" t="str">
        <f>HYPERLINK("http://snap.windin.com/ns/bulletin.php?id=1069197&amp;type=1", "三星电气:首次公开发行A股股票上市公告书")</f>
        <v>三星电气:首次公开发行A股股票上市公告书</v>
      </c>
    </row>
    <row r="1680" spans="1:3" x14ac:dyDescent="0.15">
      <c r="A1680" s="1">
        <v>40708</v>
      </c>
      <c r="B1680" t="s">
        <v>341</v>
      </c>
      <c r="C1680" s="2" t="str">
        <f>HYPERLINK("http://snap.windin.com/ns/bulletin.php?id=1060780&amp;type=1", "永利带业:首次公开发行股票并在创业板上市公告书")</f>
        <v>永利带业:首次公开发行股票并在创业板上市公告书</v>
      </c>
    </row>
    <row r="1681" spans="1:3" x14ac:dyDescent="0.15">
      <c r="A1681" s="1">
        <v>40708</v>
      </c>
      <c r="B1681" t="s">
        <v>327</v>
      </c>
      <c r="C1681" s="2" t="str">
        <f>HYPERLINK("http://snap.windin.com/ns/bulletin.php?id=913609&amp;type=1", "赛轮股份:首次公开发行股票招股意向书附录")</f>
        <v>赛轮股份:首次公开发行股票招股意向书附录</v>
      </c>
    </row>
    <row r="1682" spans="1:3" x14ac:dyDescent="0.15">
      <c r="A1682" s="1">
        <v>40708</v>
      </c>
      <c r="B1682" t="s">
        <v>323</v>
      </c>
      <c r="C1682" s="2" t="str">
        <f>HYPERLINK("http://snap.windin.com/ns/bulletin.php?id=678738&amp;type=1", "海南瑞泽:首次公开发行股票并上市招股意向书摘要")</f>
        <v>海南瑞泽:首次公开发行股票并上市招股意向书摘要</v>
      </c>
    </row>
    <row r="1683" spans="1:3" x14ac:dyDescent="0.15">
      <c r="A1683" s="1">
        <v>40708</v>
      </c>
      <c r="B1683" t="s">
        <v>327</v>
      </c>
      <c r="C1683" s="2" t="str">
        <f>HYPERLINK("http://snap.windin.com/ns/bulletin.php?id=541051&amp;type=1", "赛轮股份:首次公开发行股票招股意向书")</f>
        <v>赛轮股份:首次公开发行股票招股意向书</v>
      </c>
    </row>
    <row r="1684" spans="1:3" x14ac:dyDescent="0.15">
      <c r="A1684" s="1">
        <v>40708</v>
      </c>
      <c r="B1684" t="s">
        <v>323</v>
      </c>
      <c r="C1684" s="2" t="str">
        <f>HYPERLINK("http://snap.windin.com/ns/bulletin.php?id=199794&amp;type=1", "海南瑞泽:首次公开发行股票并上市招股意向书")</f>
        <v>海南瑞泽:首次公开发行股票并上市招股意向书</v>
      </c>
    </row>
    <row r="1685" spans="1:3" x14ac:dyDescent="0.15">
      <c r="A1685" s="1">
        <v>40708</v>
      </c>
      <c r="B1685" t="s">
        <v>327</v>
      </c>
      <c r="C1685" s="2" t="str">
        <f>HYPERLINK("http://snap.windin.com/ns/bulletin.php?id=151447&amp;type=1", "赛轮股份:首次公开发行股票招股意向书摘要")</f>
        <v>赛轮股份:首次公开发行股票招股意向书摘要</v>
      </c>
    </row>
    <row r="1686" spans="1:3" x14ac:dyDescent="0.15">
      <c r="A1686" s="1">
        <v>40707</v>
      </c>
      <c r="B1686" t="s">
        <v>334</v>
      </c>
      <c r="C1686" s="2" t="str">
        <f>HYPERLINK("http://snap.windin.com/ns/bulletin.php?id=2100102&amp;type=1", "洲明科技:首次公开发行股票并在创业板上市招股说明书")</f>
        <v>洲明科技:首次公开发行股票并在创业板上市招股说明书</v>
      </c>
    </row>
    <row r="1687" spans="1:3" x14ac:dyDescent="0.15">
      <c r="A1687" s="1">
        <v>40707</v>
      </c>
      <c r="B1687" t="s">
        <v>335</v>
      </c>
      <c r="C1687" s="2" t="str">
        <f>HYPERLINK("http://snap.windin.com/ns/bulletin.php?id=1809121&amp;type=1", "开尔新材:首次公开发行股票并在创业板上市招股说明书")</f>
        <v>开尔新材:首次公开发行股票并在创业板上市招股说明书</v>
      </c>
    </row>
    <row r="1688" spans="1:3" x14ac:dyDescent="0.15">
      <c r="A1688" s="1">
        <v>40707</v>
      </c>
      <c r="B1688" t="s">
        <v>336</v>
      </c>
      <c r="C1688" s="2" t="str">
        <f>HYPERLINK("http://snap.windin.com/ns/bulletin.php?id=425700&amp;type=1", "金城医药:首次公开发行股票并在创业板上市招股说明书")</f>
        <v>金城医药:首次公开发行股票并在创业板上市招股说明书</v>
      </c>
    </row>
    <row r="1689" spans="1:3" x14ac:dyDescent="0.15">
      <c r="A1689" s="1">
        <v>40704</v>
      </c>
      <c r="B1689" t="s">
        <v>330</v>
      </c>
      <c r="C1689" s="2" t="str">
        <f>HYPERLINK("http://snap.windin.com/ns/bulletin.php?id=1960959&amp;type=1", "方直科技:首次公开发行股票并在创业板上市招股意向书")</f>
        <v>方直科技:首次公开发行股票并在创业板上市招股意向书</v>
      </c>
    </row>
    <row r="1690" spans="1:3" x14ac:dyDescent="0.15">
      <c r="A1690" s="1">
        <v>40704</v>
      </c>
      <c r="B1690" t="s">
        <v>331</v>
      </c>
      <c r="C1690" s="2" t="str">
        <f>HYPERLINK("http://snap.windin.com/ns/bulletin.php?id=1798726&amp;type=1", "美晨科技:首次公开发行股票并在创业板上市招股意向书")</f>
        <v>美晨科技:首次公开发行股票并在创业板上市招股意向书</v>
      </c>
    </row>
    <row r="1691" spans="1:3" x14ac:dyDescent="0.15">
      <c r="A1691" s="1">
        <v>40704</v>
      </c>
      <c r="B1691" t="s">
        <v>329</v>
      </c>
      <c r="C1691" s="2" t="str">
        <f>HYPERLINK("http://snap.windin.com/ns/bulletin.php?id=1577941&amp;type=1", "上海新阳:首次公开发行股票并在创业板上市招股意向书")</f>
        <v>上海新阳:首次公开发行股票并在创业板上市招股意向书</v>
      </c>
    </row>
    <row r="1692" spans="1:3" x14ac:dyDescent="0.15">
      <c r="A1692" s="1">
        <v>40703</v>
      </c>
      <c r="B1692" t="s">
        <v>343</v>
      </c>
      <c r="C1692" s="2" t="str">
        <f>HYPERLINK("http://snap.windin.com/ns/bulletin.php?id=1848525&amp;type=1", "万安科技:首次公开发行股票上市公告书")</f>
        <v>万安科技:首次公开发行股票上市公告书</v>
      </c>
    </row>
    <row r="1693" spans="1:3" x14ac:dyDescent="0.15">
      <c r="A1693" s="1">
        <v>40703</v>
      </c>
      <c r="B1693" t="s">
        <v>344</v>
      </c>
      <c r="C1693" s="2" t="str">
        <f>HYPERLINK("http://snap.windin.com/ns/bulletin.php?id=1686780&amp;type=1", "奥拓电子:首次公开发行股票上市公告书")</f>
        <v>奥拓电子:首次公开发行股票上市公告书</v>
      </c>
    </row>
    <row r="1694" spans="1:3" x14ac:dyDescent="0.15">
      <c r="A1694" s="1">
        <v>40703</v>
      </c>
      <c r="B1694" t="s">
        <v>338</v>
      </c>
      <c r="C1694" s="2" t="str">
        <f>HYPERLINK("http://snap.windin.com/ns/bulletin.php?id=925986&amp;type=1", "恒大高新:首次公开发行股票招股说明书")</f>
        <v>恒大高新:首次公开发行股票招股说明书</v>
      </c>
    </row>
    <row r="1695" spans="1:3" x14ac:dyDescent="0.15">
      <c r="A1695" s="1">
        <v>40703</v>
      </c>
      <c r="B1695" t="s">
        <v>345</v>
      </c>
      <c r="C1695" s="2" t="str">
        <f>HYPERLINK("http://snap.windin.com/ns/bulletin.php?id=717972&amp;type=1", "瑞康医药:首次公开发行股票上市公告书")</f>
        <v>瑞康医药:首次公开发行股票上市公告书</v>
      </c>
    </row>
    <row r="1696" spans="1:3" x14ac:dyDescent="0.15">
      <c r="A1696" s="1">
        <v>40703</v>
      </c>
      <c r="B1696" t="s">
        <v>346</v>
      </c>
      <c r="C1696" s="2" t="str">
        <f>HYPERLINK("http://snap.windin.com/ns/bulletin.php?id=402199&amp;type=1", "史丹利:首次公开发行股票上市公告书")</f>
        <v>史丹利:首次公开发行股票上市公告书</v>
      </c>
    </row>
    <row r="1697" spans="1:3" x14ac:dyDescent="0.15">
      <c r="A1697" s="1">
        <v>40703</v>
      </c>
      <c r="B1697" t="s">
        <v>338</v>
      </c>
      <c r="C1697" s="2" t="str">
        <f>HYPERLINK("http://snap.windin.com/ns/bulletin.php?id=225561&amp;type=1", "恒大高新:首次公开发行股票招股说明书摘要")</f>
        <v>恒大高新:首次公开发行股票招股说明书摘要</v>
      </c>
    </row>
    <row r="1698" spans="1:3" x14ac:dyDescent="0.15">
      <c r="A1698" s="1">
        <v>40702</v>
      </c>
      <c r="B1698" t="s">
        <v>333</v>
      </c>
      <c r="C1698" s="2" t="str">
        <f>HYPERLINK("http://snap.windin.com/ns/bulletin.php?id=1747288&amp;type=1", "日上集团:首次公开发行股票招股意向书摘要")</f>
        <v>日上集团:首次公开发行股票招股意向书摘要</v>
      </c>
    </row>
    <row r="1699" spans="1:3" x14ac:dyDescent="0.15">
      <c r="A1699" s="1">
        <v>40702</v>
      </c>
      <c r="B1699" t="s">
        <v>328</v>
      </c>
      <c r="C1699" s="2" t="str">
        <f>HYPERLINK("http://snap.windin.com/ns/bulletin.php?id=1462830&amp;type=1", "比亚迪:首次公开发行A股股票招股意向书摘要")</f>
        <v>比亚迪:首次公开发行A股股票招股意向书摘要</v>
      </c>
    </row>
    <row r="1700" spans="1:3" x14ac:dyDescent="0.15">
      <c r="A1700" s="1">
        <v>40702</v>
      </c>
      <c r="B1700" t="s">
        <v>328</v>
      </c>
      <c r="C1700" s="2" t="str">
        <f>HYPERLINK("http://snap.windin.com/ns/bulletin.php?id=1199807&amp;type=1", "比亚迪:首次公开发行A股股票招股意向书")</f>
        <v>比亚迪:首次公开发行A股股票招股意向书</v>
      </c>
    </row>
    <row r="1701" spans="1:3" x14ac:dyDescent="0.15">
      <c r="A1701" s="1">
        <v>40702</v>
      </c>
      <c r="B1701" t="s">
        <v>332</v>
      </c>
      <c r="C1701" s="2" t="str">
        <f>HYPERLINK("http://snap.windin.com/ns/bulletin.php?id=809272&amp;type=1", "豪迈科技:首次公开发行股票招股意向书摘要")</f>
        <v>豪迈科技:首次公开发行股票招股意向书摘要</v>
      </c>
    </row>
    <row r="1702" spans="1:3" x14ac:dyDescent="0.15">
      <c r="A1702" s="1">
        <v>40702</v>
      </c>
      <c r="B1702" t="s">
        <v>333</v>
      </c>
      <c r="C1702" s="2" t="str">
        <f>HYPERLINK("http://snap.windin.com/ns/bulletin.php?id=456262&amp;type=1", "日上集团:首次公开发行股票招股意向书")</f>
        <v>日上集团:首次公开发行股票招股意向书</v>
      </c>
    </row>
    <row r="1703" spans="1:3" x14ac:dyDescent="0.15">
      <c r="A1703" s="1">
        <v>40702</v>
      </c>
      <c r="B1703" t="s">
        <v>332</v>
      </c>
      <c r="C1703" s="2" t="str">
        <f>HYPERLINK("http://snap.windin.com/ns/bulletin.php?id=455526&amp;type=1", "豪迈科技:首次公开发行股票招股意向书")</f>
        <v>豪迈科技:首次公开发行股票招股意向书</v>
      </c>
    </row>
    <row r="1704" spans="1:3" x14ac:dyDescent="0.15">
      <c r="A1704" s="1">
        <v>40701</v>
      </c>
      <c r="B1704" t="s">
        <v>347</v>
      </c>
      <c r="C1704" s="2" t="str">
        <f>HYPERLINK("http://snap.windin.com/ns/bulletin.php?id=1970909&amp;type=1", "光韵达:首次公开发行股票并在创业板上市上市公告书提示性公告")</f>
        <v>光韵达:首次公开发行股票并在创业板上市上市公告书提示性公告</v>
      </c>
    </row>
    <row r="1705" spans="1:3" x14ac:dyDescent="0.15">
      <c r="A1705" s="1">
        <v>40701</v>
      </c>
      <c r="B1705" t="s">
        <v>347</v>
      </c>
      <c r="C1705" s="2" t="str">
        <f>HYPERLINK("http://snap.windin.com/ns/bulletin.php?id=1908975&amp;type=1", "光韵达:首次公开发行股票并在创业板上市上市公告书")</f>
        <v>光韵达:首次公开发行股票并在创业板上市上市公告书</v>
      </c>
    </row>
    <row r="1706" spans="1:3" x14ac:dyDescent="0.15">
      <c r="A1706" s="1">
        <v>40701</v>
      </c>
      <c r="B1706" t="s">
        <v>348</v>
      </c>
      <c r="C1706" s="2" t="str">
        <f>HYPERLINK("http://snap.windin.com/ns/bulletin.php?id=1527680&amp;type=1", "富瑞特装:首次公开发行股票并在创业板上市上市公告书")</f>
        <v>富瑞特装:首次公开发行股票并在创业板上市上市公告书</v>
      </c>
    </row>
    <row r="1707" spans="1:3" x14ac:dyDescent="0.15">
      <c r="A1707" s="1">
        <v>40701</v>
      </c>
      <c r="B1707" t="s">
        <v>348</v>
      </c>
      <c r="C1707" s="2" t="str">
        <f>HYPERLINK("http://snap.windin.com/ns/bulletin.php?id=1512404&amp;type=1", "富瑞特装:首次公开发行股票并在创业板上市公告书提示性公告")</f>
        <v>富瑞特装:首次公开发行股票并在创业板上市公告书提示性公告</v>
      </c>
    </row>
    <row r="1708" spans="1:3" x14ac:dyDescent="0.15">
      <c r="A1708" s="1">
        <v>40701</v>
      </c>
      <c r="B1708" t="s">
        <v>349</v>
      </c>
      <c r="C1708" s="2" t="str">
        <f>HYPERLINK("http://snap.windin.com/ns/bulletin.php?id=1387158&amp;type=1", "上海钢联:首次公开发行股票上市公告书")</f>
        <v>上海钢联:首次公开发行股票上市公告书</v>
      </c>
    </row>
    <row r="1709" spans="1:3" x14ac:dyDescent="0.15">
      <c r="A1709" s="1">
        <v>40701</v>
      </c>
      <c r="B1709" t="s">
        <v>349</v>
      </c>
      <c r="C1709" s="2" t="str">
        <f>HYPERLINK("http://snap.windin.com/ns/bulletin.php?id=1134062&amp;type=1", "上海钢联:首次公开发行股票并在创业板上市公告书提示性公告")</f>
        <v>上海钢联:首次公开发行股票并在创业板上市公告书提示性公告</v>
      </c>
    </row>
    <row r="1710" spans="1:3" x14ac:dyDescent="0.15">
      <c r="A1710" s="1">
        <v>40697</v>
      </c>
      <c r="B1710" t="s">
        <v>339</v>
      </c>
      <c r="C1710" s="2" t="str">
        <f>HYPERLINK("http://snap.windin.com/ns/bulletin.php?id=1416081&amp;type=1", "拓尔思:首次公开发行股票并在创业板上市招股说明书")</f>
        <v>拓尔思:首次公开发行股票并在创业板上市招股说明书</v>
      </c>
    </row>
    <row r="1711" spans="1:3" x14ac:dyDescent="0.15">
      <c r="A1711" s="1">
        <v>40697</v>
      </c>
      <c r="B1711" t="s">
        <v>341</v>
      </c>
      <c r="C1711" s="2" t="str">
        <f>HYPERLINK("http://snap.windin.com/ns/bulletin.php?id=1182589&amp;type=1", "永利带业:首次公开发行股票并在创业板上市招股说明书")</f>
        <v>永利带业:首次公开发行股票并在创业板上市招股说明书</v>
      </c>
    </row>
    <row r="1712" spans="1:3" x14ac:dyDescent="0.15">
      <c r="A1712" s="1">
        <v>40697</v>
      </c>
      <c r="B1712" t="s">
        <v>336</v>
      </c>
      <c r="C1712" s="2" t="str">
        <f>HYPERLINK("http://snap.windin.com/ns/bulletin.php?id=1161844&amp;type=1", "金城医药:首次公开发行股票并在创业板上市招股意向书")</f>
        <v>金城医药:首次公开发行股票并在创业板上市招股意向书</v>
      </c>
    </row>
    <row r="1713" spans="1:3" x14ac:dyDescent="0.15">
      <c r="A1713" s="1">
        <v>40697</v>
      </c>
      <c r="B1713" t="s">
        <v>334</v>
      </c>
      <c r="C1713" s="2" t="str">
        <f>HYPERLINK("http://snap.windin.com/ns/bulletin.php?id=840943&amp;type=1", "洲明科技:首次公开发行股票并在创业板上市招股意向书")</f>
        <v>洲明科技:首次公开发行股票并在创业板上市招股意向书</v>
      </c>
    </row>
    <row r="1714" spans="1:3" x14ac:dyDescent="0.15">
      <c r="A1714" s="1">
        <v>40697</v>
      </c>
      <c r="B1714" t="s">
        <v>340</v>
      </c>
      <c r="C1714" s="2" t="str">
        <f>HYPERLINK("http://snap.windin.com/ns/bulletin.php?id=795638&amp;type=1", "银信科技:首次公开发行股票并在创业板上市招股说明书")</f>
        <v>银信科技:首次公开发行股票并在创业板上市招股说明书</v>
      </c>
    </row>
    <row r="1715" spans="1:3" x14ac:dyDescent="0.15">
      <c r="A1715" s="1">
        <v>40697</v>
      </c>
      <c r="B1715" t="s">
        <v>335</v>
      </c>
      <c r="C1715" s="2" t="str">
        <f>HYPERLINK("http://snap.windin.com/ns/bulletin.php?id=578904&amp;type=1", "开尔新材:首次公开发行股票并在创业板上市招股意向书")</f>
        <v>开尔新材:首次公开发行股票并在创业板上市招股意向书</v>
      </c>
    </row>
    <row r="1716" spans="1:3" x14ac:dyDescent="0.15">
      <c r="A1716" s="1">
        <v>40696</v>
      </c>
      <c r="B1716" t="s">
        <v>350</v>
      </c>
      <c r="C1716" s="2" t="str">
        <f>HYPERLINK("http://snap.windin.com/ns/bulletin.php?id=526072&amp;type=1", "文峰股份:首次公开发行股票招股说明书")</f>
        <v>文峰股份:首次公开发行股票招股说明书</v>
      </c>
    </row>
    <row r="1717" spans="1:3" x14ac:dyDescent="0.15">
      <c r="A1717" s="1">
        <v>40696</v>
      </c>
      <c r="B1717" t="s">
        <v>350</v>
      </c>
      <c r="C1717" s="2" t="str">
        <f>HYPERLINK("http://snap.windin.com/ns/bulletin.php?id=217755&amp;type=1", "文峰股份:首次公开发行A股股票上市公告书")</f>
        <v>文峰股份:首次公开发行A股股票上市公告书</v>
      </c>
    </row>
    <row r="1718" spans="1:3" x14ac:dyDescent="0.15">
      <c r="A1718" s="1">
        <v>40695</v>
      </c>
      <c r="B1718" t="s">
        <v>351</v>
      </c>
      <c r="C1718" s="2" t="str">
        <f>HYPERLINK("http://snap.windin.com/ns/bulletin.php?id=2089312&amp;type=1", "西陇化工:首次公开发行股票上市公告书")</f>
        <v>西陇化工:首次公开发行股票上市公告书</v>
      </c>
    </row>
    <row r="1719" spans="1:3" x14ac:dyDescent="0.15">
      <c r="A1719" s="1">
        <v>40695</v>
      </c>
      <c r="B1719" t="s">
        <v>337</v>
      </c>
      <c r="C1719" s="2" t="str">
        <f>HYPERLINK("http://snap.windin.com/ns/bulletin.php?id=2034848&amp;type=1", "蓝科高新:首次公开发行股票并上市招股意向书附录")</f>
        <v>蓝科高新:首次公开发行股票并上市招股意向书附录</v>
      </c>
    </row>
    <row r="1720" spans="1:3" x14ac:dyDescent="0.15">
      <c r="A1720" s="1">
        <v>40695</v>
      </c>
      <c r="B1720" t="s">
        <v>352</v>
      </c>
      <c r="C1720" s="2" t="str">
        <f>HYPERLINK("http://snap.windin.com/ns/bulletin.php?id=2013053&amp;type=1", "骆驼股份:首次公开发行A股股票上市公告书")</f>
        <v>骆驼股份:首次公开发行A股股票上市公告书</v>
      </c>
    </row>
    <row r="1721" spans="1:3" x14ac:dyDescent="0.15">
      <c r="A1721" s="1">
        <v>40695</v>
      </c>
      <c r="B1721" t="s">
        <v>353</v>
      </c>
      <c r="C1721" s="2" t="str">
        <f>HYPERLINK("http://snap.windin.com/ns/bulletin.php?id=1911565&amp;type=1", "围海股份:首次公开发行股票上市公告书")</f>
        <v>围海股份:首次公开发行股票上市公告书</v>
      </c>
    </row>
    <row r="1722" spans="1:3" x14ac:dyDescent="0.15">
      <c r="A1722" s="1">
        <v>40695</v>
      </c>
      <c r="B1722" t="s">
        <v>338</v>
      </c>
      <c r="C1722" s="2" t="str">
        <f>HYPERLINK("http://snap.windin.com/ns/bulletin.php?id=1891894&amp;type=1", "恒大高新:首次公开发行股票招股意向书摘要")</f>
        <v>恒大高新:首次公开发行股票招股意向书摘要</v>
      </c>
    </row>
    <row r="1723" spans="1:3" x14ac:dyDescent="0.15">
      <c r="A1723" s="1">
        <v>40695</v>
      </c>
      <c r="B1723" t="s">
        <v>338</v>
      </c>
      <c r="C1723" s="2" t="str">
        <f>HYPERLINK("http://snap.windin.com/ns/bulletin.php?id=1742165&amp;type=1", "恒大高新:首次公开发行股票招股意向书")</f>
        <v>恒大高新:首次公开发行股票招股意向书</v>
      </c>
    </row>
    <row r="1724" spans="1:3" x14ac:dyDescent="0.15">
      <c r="A1724" s="1">
        <v>40695</v>
      </c>
      <c r="B1724" t="s">
        <v>352</v>
      </c>
      <c r="C1724" s="2" t="str">
        <f>HYPERLINK("http://snap.windin.com/ns/bulletin.php?id=1393299&amp;type=1", "骆驼股份:首次公开发行股票招股说明书")</f>
        <v>骆驼股份:首次公开发行股票招股说明书</v>
      </c>
    </row>
    <row r="1725" spans="1:3" x14ac:dyDescent="0.15">
      <c r="A1725" s="1">
        <v>40695</v>
      </c>
      <c r="B1725" t="s">
        <v>337</v>
      </c>
      <c r="C1725" s="2" t="str">
        <f>HYPERLINK("http://snap.windin.com/ns/bulletin.php?id=1179097&amp;type=1", "蓝科高新:首次公开发行股票招股意向书摘要")</f>
        <v>蓝科高新:首次公开发行股票招股意向书摘要</v>
      </c>
    </row>
    <row r="1726" spans="1:3" x14ac:dyDescent="0.15">
      <c r="A1726" s="1">
        <v>40695</v>
      </c>
      <c r="B1726" t="s">
        <v>241</v>
      </c>
      <c r="C1726" s="2" t="str">
        <f>HYPERLINK("http://snap.windin.com/ns/bulletin.php?id=1088942&amp;type=1", "八菱科技:首次公开发行股票招股意向书")</f>
        <v>八菱科技:首次公开发行股票招股意向书</v>
      </c>
    </row>
    <row r="1727" spans="1:3" x14ac:dyDescent="0.15">
      <c r="A1727" s="1">
        <v>40695</v>
      </c>
      <c r="B1727" t="s">
        <v>241</v>
      </c>
      <c r="C1727" s="2" t="str">
        <f>HYPERLINK("http://snap.windin.com/ns/bulletin.php?id=902932&amp;type=1", "八菱科技:首次公开发行股票招股意向书摘要")</f>
        <v>八菱科技:首次公开发行股票招股意向书摘要</v>
      </c>
    </row>
    <row r="1728" spans="1:3" x14ac:dyDescent="0.15">
      <c r="A1728" s="1">
        <v>40695</v>
      </c>
      <c r="B1728" t="s">
        <v>354</v>
      </c>
      <c r="C1728" s="2" t="str">
        <f>HYPERLINK("http://snap.windin.com/ns/bulletin.php?id=815609&amp;type=1", "双星新材:首次公开发行股票上市公告书")</f>
        <v>双星新材:首次公开发行股票上市公告书</v>
      </c>
    </row>
    <row r="1729" spans="1:3" x14ac:dyDescent="0.15">
      <c r="A1729" s="1">
        <v>40695</v>
      </c>
      <c r="B1729" t="s">
        <v>337</v>
      </c>
      <c r="C1729" s="2" t="str">
        <f>HYPERLINK("http://snap.windin.com/ns/bulletin.php?id=728031&amp;type=1", "蓝科高新:首次公开发行股票招股意向书")</f>
        <v>蓝科高新:首次公开发行股票招股意向书</v>
      </c>
    </row>
    <row r="1730" spans="1:3" x14ac:dyDescent="0.15">
      <c r="A1730" s="1">
        <v>40694</v>
      </c>
      <c r="B1730" t="s">
        <v>345</v>
      </c>
      <c r="C1730" s="2" t="str">
        <f>HYPERLINK("http://snap.windin.com/ns/bulletin.php?id=1992099&amp;type=1", "瑞康医药:首次公开发行股票招股说明书")</f>
        <v>瑞康医药:首次公开发行股票招股说明书</v>
      </c>
    </row>
    <row r="1731" spans="1:3" x14ac:dyDescent="0.15">
      <c r="A1731" s="1">
        <v>40694</v>
      </c>
      <c r="B1731" t="s">
        <v>345</v>
      </c>
      <c r="C1731" s="2" t="str">
        <f>HYPERLINK("http://snap.windin.com/ns/bulletin.php?id=1541665&amp;type=1", "瑞康医药:首次公开发行股票招股说明书摘要")</f>
        <v>瑞康医药:首次公开发行股票招股说明书摘要</v>
      </c>
    </row>
    <row r="1732" spans="1:3" x14ac:dyDescent="0.15">
      <c r="A1732" s="1">
        <v>40694</v>
      </c>
      <c r="B1732" t="s">
        <v>343</v>
      </c>
      <c r="C1732" s="2" t="str">
        <f>HYPERLINK("http://snap.windin.com/ns/bulletin.php?id=1228098&amp;type=1", "万安科技:首次公开发行股票并上市招股说明书摘要")</f>
        <v>万安科技:首次公开发行股票并上市招股说明书摘要</v>
      </c>
    </row>
    <row r="1733" spans="1:3" x14ac:dyDescent="0.15">
      <c r="A1733" s="1">
        <v>40694</v>
      </c>
      <c r="B1733" t="s">
        <v>344</v>
      </c>
      <c r="C1733" s="2" t="str">
        <f>HYPERLINK("http://snap.windin.com/ns/bulletin.php?id=1214600&amp;type=1", "奥拓电子:首次公开发行股票招股说明书摘要")</f>
        <v>奥拓电子:首次公开发行股票招股说明书摘要</v>
      </c>
    </row>
    <row r="1734" spans="1:3" x14ac:dyDescent="0.15">
      <c r="A1734" s="1">
        <v>40694</v>
      </c>
      <c r="B1734" t="s">
        <v>343</v>
      </c>
      <c r="C1734" s="2" t="str">
        <f>HYPERLINK("http://snap.windin.com/ns/bulletin.php?id=1181814&amp;type=1", "万安科技:首次公开发行股票并上市招股说明书")</f>
        <v>万安科技:首次公开发行股票并上市招股说明书</v>
      </c>
    </row>
    <row r="1735" spans="1:3" x14ac:dyDescent="0.15">
      <c r="A1735" s="1">
        <v>40694</v>
      </c>
      <c r="B1735" t="s">
        <v>346</v>
      </c>
      <c r="C1735" s="2" t="str">
        <f>HYPERLINK("http://snap.windin.com/ns/bulletin.php?id=561006&amp;type=1", "史丹利:首次公开发行股票招股说明书")</f>
        <v>史丹利:首次公开发行股票招股说明书</v>
      </c>
    </row>
    <row r="1736" spans="1:3" x14ac:dyDescent="0.15">
      <c r="A1736" s="1">
        <v>40694</v>
      </c>
      <c r="B1736" t="s">
        <v>344</v>
      </c>
      <c r="C1736" s="2" t="str">
        <f>HYPERLINK("http://snap.windin.com/ns/bulletin.php?id=559190&amp;type=1", "奥拓电子:首次公开发行股票招股说明书")</f>
        <v>奥拓电子:首次公开发行股票招股说明书</v>
      </c>
    </row>
    <row r="1737" spans="1:3" x14ac:dyDescent="0.15">
      <c r="A1737" s="1">
        <v>40694</v>
      </c>
      <c r="B1737" t="s">
        <v>346</v>
      </c>
      <c r="C1737" s="2" t="str">
        <f>HYPERLINK("http://snap.windin.com/ns/bulletin.php?id=530804&amp;type=1", "史丹利:首次公开发行股票招股说明书摘要")</f>
        <v>史丹利:首次公开发行股票招股说明书摘要</v>
      </c>
    </row>
    <row r="1738" spans="1:3" x14ac:dyDescent="0.15">
      <c r="A1738" s="1">
        <v>40693</v>
      </c>
      <c r="B1738" t="s">
        <v>355</v>
      </c>
      <c r="C1738" s="2" t="str">
        <f>HYPERLINK("http://snap.windin.com/ns/bulletin.php?id=1847265&amp;type=1", "金力泰:首次公开发行股票并在创业板上市上市公告书")</f>
        <v>金力泰:首次公开发行股票并在创业板上市上市公告书</v>
      </c>
    </row>
    <row r="1739" spans="1:3" x14ac:dyDescent="0.15">
      <c r="A1739" s="1">
        <v>40693</v>
      </c>
      <c r="B1739" t="s">
        <v>356</v>
      </c>
      <c r="C1739" s="2" t="str">
        <f>HYPERLINK("http://snap.windin.com/ns/bulletin.php?id=1715458&amp;type=1", "北京君正:首次公开发行股票并在创业板上市上市公告书提示性公告")</f>
        <v>北京君正:首次公开发行股票并在创业板上市上市公告书提示性公告</v>
      </c>
    </row>
    <row r="1740" spans="1:3" x14ac:dyDescent="0.15">
      <c r="A1740" s="1">
        <v>40693</v>
      </c>
      <c r="B1740" t="s">
        <v>356</v>
      </c>
      <c r="C1740" s="2" t="str">
        <f>HYPERLINK("http://snap.windin.com/ns/bulletin.php?id=1074764&amp;type=1", "北京君正:首次公开发行股票上市公告书")</f>
        <v>北京君正:首次公开发行股票上市公告书</v>
      </c>
    </row>
    <row r="1741" spans="1:3" x14ac:dyDescent="0.15">
      <c r="A1741" s="1">
        <v>40693</v>
      </c>
      <c r="B1741" t="s">
        <v>357</v>
      </c>
      <c r="C1741" s="2" t="str">
        <f>HYPERLINK("http://snap.windin.com/ns/bulletin.php?id=528892&amp;type=1", "正海磁材:首次公开发行股票并在创业板上市上市公告书提示性公告")</f>
        <v>正海磁材:首次公开发行股票并在创业板上市上市公告书提示性公告</v>
      </c>
    </row>
    <row r="1742" spans="1:3" x14ac:dyDescent="0.15">
      <c r="A1742" s="1">
        <v>40693</v>
      </c>
      <c r="B1742" t="s">
        <v>357</v>
      </c>
      <c r="C1742" s="2" t="str">
        <f>HYPERLINK("http://snap.windin.com/ns/bulletin.php?id=491900&amp;type=1", "正海磁材:首次公开发行股票并在创业板上市之上市公告书")</f>
        <v>正海磁材:首次公开发行股票并在创业板上市之上市公告书</v>
      </c>
    </row>
    <row r="1743" spans="1:3" x14ac:dyDescent="0.15">
      <c r="A1743" s="1">
        <v>40693</v>
      </c>
      <c r="B1743" t="s">
        <v>355</v>
      </c>
      <c r="C1743" s="2" t="str">
        <f>HYPERLINK("http://snap.windin.com/ns/bulletin.php?id=129055&amp;type=1", "金力泰:首次公开发行股票并在创业板上市上市公告书提示性公告")</f>
        <v>金力泰:首次公开发行股票并在创业板上市上市公告书提示性公告</v>
      </c>
    </row>
    <row r="1744" spans="1:3" x14ac:dyDescent="0.15">
      <c r="A1744" s="1">
        <v>40690</v>
      </c>
      <c r="B1744" t="s">
        <v>340</v>
      </c>
      <c r="C1744" s="2" t="str">
        <f>HYPERLINK("http://snap.windin.com/ns/bulletin.php?id=18562374&amp;type=1", "银信科技:首次公开发行股票并在创业板上市招股意向书")</f>
        <v>银信科技:首次公开发行股票并在创业板上市招股意向书</v>
      </c>
    </row>
    <row r="1745" spans="1:3" x14ac:dyDescent="0.15">
      <c r="A1745" s="1">
        <v>40690</v>
      </c>
      <c r="B1745" t="s">
        <v>347</v>
      </c>
      <c r="C1745" s="2" t="str">
        <f>HYPERLINK("http://snap.windin.com/ns/bulletin.php?id=1896710&amp;type=1", "光韵达:首次公开发行股票并在创业板上市招股说明书")</f>
        <v>光韵达:首次公开发行股票并在创业板上市招股说明书</v>
      </c>
    </row>
    <row r="1746" spans="1:3" x14ac:dyDescent="0.15">
      <c r="A1746" s="1">
        <v>40690</v>
      </c>
      <c r="B1746" t="s">
        <v>358</v>
      </c>
      <c r="C1746" s="2" t="str">
        <f>HYPERLINK("http://snap.windin.com/ns/bulletin.php?id=1787744&amp;type=1", "九牧王:首次公开发行股票招股说明书")</f>
        <v>九牧王:首次公开发行股票招股说明书</v>
      </c>
    </row>
    <row r="1747" spans="1:3" x14ac:dyDescent="0.15">
      <c r="A1747" s="1">
        <v>40690</v>
      </c>
      <c r="B1747" t="s">
        <v>349</v>
      </c>
      <c r="C1747" s="2" t="str">
        <f>HYPERLINK("http://snap.windin.com/ns/bulletin.php?id=1643645&amp;type=1", "上海钢联:首次公开发行股票并在创业板上市招股说明书")</f>
        <v>上海钢联:首次公开发行股票并在创业板上市招股说明书</v>
      </c>
    </row>
    <row r="1748" spans="1:3" x14ac:dyDescent="0.15">
      <c r="A1748" s="1">
        <v>40690</v>
      </c>
      <c r="B1748" t="s">
        <v>348</v>
      </c>
      <c r="C1748" s="2" t="str">
        <f>HYPERLINK("http://snap.windin.com/ns/bulletin.php?id=1331821&amp;type=1", "富瑞特装:首次公开发行股票并在创业板上市招股说明书")</f>
        <v>富瑞特装:首次公开发行股票并在创业板上市招股说明书</v>
      </c>
    </row>
    <row r="1749" spans="1:3" x14ac:dyDescent="0.15">
      <c r="A1749" s="1">
        <v>40690</v>
      </c>
      <c r="B1749" t="s">
        <v>358</v>
      </c>
      <c r="C1749" s="2" t="str">
        <f>HYPERLINK("http://snap.windin.com/ns/bulletin.php?id=953185&amp;type=1", "九牧王:首次公开发行A股股票上市公告书")</f>
        <v>九牧王:首次公开发行A股股票上市公告书</v>
      </c>
    </row>
    <row r="1750" spans="1:3" x14ac:dyDescent="0.15">
      <c r="A1750" s="1">
        <v>40690</v>
      </c>
      <c r="B1750" t="s">
        <v>341</v>
      </c>
      <c r="C1750" s="2" t="str">
        <f>HYPERLINK("http://snap.windin.com/ns/bulletin.php?id=808835&amp;type=1", "永利带业:首次公开发行股票并在创业板上市招股意向书")</f>
        <v>永利带业:首次公开发行股票并在创业板上市招股意向书</v>
      </c>
    </row>
    <row r="1751" spans="1:3" x14ac:dyDescent="0.15">
      <c r="A1751" s="1">
        <v>40690</v>
      </c>
      <c r="B1751" t="s">
        <v>339</v>
      </c>
      <c r="C1751" s="2" t="str">
        <f>HYPERLINK("http://snap.windin.com/ns/bulletin.php?id=187065&amp;type=1", "拓尔思:首次公开发行股票并在创业板上市招股意向书")</f>
        <v>拓尔思:首次公开发行股票并在创业板上市招股意向书</v>
      </c>
    </row>
    <row r="1752" spans="1:3" x14ac:dyDescent="0.15">
      <c r="A1752" s="1">
        <v>40690</v>
      </c>
      <c r="B1752" t="s">
        <v>340</v>
      </c>
      <c r="C1752" s="2" t="str">
        <f>HYPERLINK("http://snap.windin.com/ns/bulletin.php?id=81394&amp;type=1", "银信科技:首次公开发行股票并在创业板上市招股意向书")</f>
        <v>银信科技:首次公开发行股票并在创业板上市招股意向书</v>
      </c>
    </row>
    <row r="1753" spans="1:3" x14ac:dyDescent="0.15">
      <c r="A1753" s="1">
        <v>40689</v>
      </c>
      <c r="B1753" t="s">
        <v>359</v>
      </c>
      <c r="C1753" s="2" t="str">
        <f>HYPERLINK("http://snap.windin.com/ns/bulletin.php?id=1784883&amp;type=1", "鹿港科技:首次公开发行股票招股说明书")</f>
        <v>鹿港科技:首次公开发行股票招股说明书</v>
      </c>
    </row>
    <row r="1754" spans="1:3" x14ac:dyDescent="0.15">
      <c r="A1754" s="1">
        <v>40689</v>
      </c>
      <c r="B1754" t="s">
        <v>359</v>
      </c>
      <c r="C1754" s="2" t="str">
        <f>HYPERLINK("http://snap.windin.com/ns/bulletin.php?id=1273806&amp;type=1", "鹿港科技:首次公开发行A股股票上市公告书")</f>
        <v>鹿港科技:首次公开发行A股股票上市公告书</v>
      </c>
    </row>
    <row r="1755" spans="1:3" x14ac:dyDescent="0.15">
      <c r="A1755" s="1">
        <v>40689</v>
      </c>
      <c r="B1755" t="s">
        <v>360</v>
      </c>
      <c r="C1755" s="2" t="str">
        <f>HYPERLINK("http://snap.windin.com/ns/bulletin.php?id=808941&amp;type=1", "海能达:首次公开发行股票上市公告书")</f>
        <v>海能达:首次公开发行股票上市公告书</v>
      </c>
    </row>
    <row r="1756" spans="1:3" x14ac:dyDescent="0.15">
      <c r="A1756" s="1">
        <v>40687</v>
      </c>
      <c r="B1756" t="s">
        <v>346</v>
      </c>
      <c r="C1756" s="2" t="str">
        <f>HYPERLINK("http://snap.windin.com/ns/bulletin.php?id=18401412&amp;type=1", "史丹利:首次公开发行股票招股意向书")</f>
        <v>史丹利:首次公开发行股票招股意向书</v>
      </c>
    </row>
    <row r="1757" spans="1:3" x14ac:dyDescent="0.15">
      <c r="A1757" s="1">
        <v>40687</v>
      </c>
      <c r="B1757" t="s">
        <v>361</v>
      </c>
      <c r="C1757" s="2" t="str">
        <f>HYPERLINK("http://snap.windin.com/ns/bulletin.php?id=2020445&amp;type=1", "金运激光:首次公开发行股票并在创业板上市上市公告书")</f>
        <v>金运激光:首次公开发行股票并在创业板上市上市公告书</v>
      </c>
    </row>
    <row r="1758" spans="1:3" x14ac:dyDescent="0.15">
      <c r="A1758" s="1">
        <v>40687</v>
      </c>
      <c r="B1758" t="s">
        <v>346</v>
      </c>
      <c r="C1758" s="2" t="str">
        <f>HYPERLINK("http://snap.windin.com/ns/bulletin.php?id=2004437&amp;type=1", "史丹利:首次公开发行股票招股意向书")</f>
        <v>史丹利:首次公开发行股票招股意向书</v>
      </c>
    </row>
    <row r="1759" spans="1:3" x14ac:dyDescent="0.15">
      <c r="A1759" s="1">
        <v>40687</v>
      </c>
      <c r="B1759" t="s">
        <v>342</v>
      </c>
      <c r="C1759" s="2" t="str">
        <f>HYPERLINK("http://snap.windin.com/ns/bulletin.php?id=1852895&amp;type=1", "三星电气:首次公开发行股票招股意向书附录二")</f>
        <v>三星电气:首次公开发行股票招股意向书附录二</v>
      </c>
    </row>
    <row r="1760" spans="1:3" x14ac:dyDescent="0.15">
      <c r="A1760" s="1">
        <v>40687</v>
      </c>
      <c r="B1760" t="s">
        <v>345</v>
      </c>
      <c r="C1760" s="2" t="str">
        <f>HYPERLINK("http://snap.windin.com/ns/bulletin.php?id=1845554&amp;type=1", "瑞康医药:首次公开发行股票招股意向书")</f>
        <v>瑞康医药:首次公开发行股票招股意向书</v>
      </c>
    </row>
    <row r="1761" spans="1:3" x14ac:dyDescent="0.15">
      <c r="A1761" s="1">
        <v>40687</v>
      </c>
      <c r="B1761" t="s">
        <v>351</v>
      </c>
      <c r="C1761" s="2" t="str">
        <f>HYPERLINK("http://snap.windin.com/ns/bulletin.php?id=1842695&amp;type=1", "西陇化工:首次公开发行股票招股说明书")</f>
        <v>西陇化工:首次公开发行股票招股说明书</v>
      </c>
    </row>
    <row r="1762" spans="1:3" x14ac:dyDescent="0.15">
      <c r="A1762" s="1">
        <v>40687</v>
      </c>
      <c r="B1762" t="s">
        <v>342</v>
      </c>
      <c r="C1762" s="2" t="str">
        <f>HYPERLINK("http://snap.windin.com/ns/bulletin.php?id=1799583&amp;type=1", "三星电气:首次公开发行股票招股意向书摘要")</f>
        <v>三星电气:首次公开发行股票招股意向书摘要</v>
      </c>
    </row>
    <row r="1763" spans="1:3" x14ac:dyDescent="0.15">
      <c r="A1763" s="1">
        <v>40687</v>
      </c>
      <c r="B1763" t="s">
        <v>353</v>
      </c>
      <c r="C1763" s="2" t="str">
        <f>HYPERLINK("http://snap.windin.com/ns/bulletin.php?id=1709824&amp;type=1", "围海股份:首次公开发行股票招股说明书摘要")</f>
        <v>围海股份:首次公开发行股票招股说明书摘要</v>
      </c>
    </row>
    <row r="1764" spans="1:3" x14ac:dyDescent="0.15">
      <c r="A1764" s="1">
        <v>40687</v>
      </c>
      <c r="B1764" t="s">
        <v>362</v>
      </c>
      <c r="C1764" s="2" t="str">
        <f>HYPERLINK("http://snap.windin.com/ns/bulletin.php?id=1697633&amp;type=1", "银禧科技:首次公开发行股票并在创业板上市公告书提示性公告")</f>
        <v>银禧科技:首次公开发行股票并在创业板上市公告书提示性公告</v>
      </c>
    </row>
    <row r="1765" spans="1:3" x14ac:dyDescent="0.15">
      <c r="A1765" s="1">
        <v>40687</v>
      </c>
      <c r="B1765" t="s">
        <v>363</v>
      </c>
      <c r="C1765" s="2" t="str">
        <f>HYPERLINK("http://snap.windin.com/ns/bulletin.php?id=1696198&amp;type=1", "科大智能:首次公开发行股票并在创业板上市之上市公告书提示性公告")</f>
        <v>科大智能:首次公开发行股票并在创业板上市之上市公告书提示性公告</v>
      </c>
    </row>
    <row r="1766" spans="1:3" x14ac:dyDescent="0.15">
      <c r="A1766" s="1">
        <v>40687</v>
      </c>
      <c r="B1766" t="s">
        <v>343</v>
      </c>
      <c r="C1766" s="2" t="str">
        <f>HYPERLINK("http://snap.windin.com/ns/bulletin.php?id=1501608&amp;type=1", "万安科技:首次公开发行股票并上市招股意向书")</f>
        <v>万安科技:首次公开发行股票并上市招股意向书</v>
      </c>
    </row>
    <row r="1767" spans="1:3" x14ac:dyDescent="0.15">
      <c r="A1767" s="1">
        <v>40687</v>
      </c>
      <c r="B1767" t="s">
        <v>342</v>
      </c>
      <c r="C1767" s="2" t="str">
        <f>HYPERLINK("http://snap.windin.com/ns/bulletin.php?id=1387403&amp;type=1", "三星电气:首次公开发行股票招股意向书附录三")</f>
        <v>三星电气:首次公开发行股票招股意向书附录三</v>
      </c>
    </row>
    <row r="1768" spans="1:3" x14ac:dyDescent="0.15">
      <c r="A1768" s="1">
        <v>40687</v>
      </c>
      <c r="B1768" t="s">
        <v>342</v>
      </c>
      <c r="C1768" s="2" t="str">
        <f>HYPERLINK("http://snap.windin.com/ns/bulletin.php?id=1377319&amp;type=1", "三星电气:首次公开发行股票招股意向书附录一")</f>
        <v>三星电气:首次公开发行股票招股意向书附录一</v>
      </c>
    </row>
    <row r="1769" spans="1:3" x14ac:dyDescent="0.15">
      <c r="A1769" s="1">
        <v>40687</v>
      </c>
      <c r="B1769" t="s">
        <v>346</v>
      </c>
      <c r="C1769" s="2" t="str">
        <f>HYPERLINK("http://snap.windin.com/ns/bulletin.php?id=1250344&amp;type=1", "史丹利:首次公开发行股票招股意向书摘要")</f>
        <v>史丹利:首次公开发行股票招股意向书摘要</v>
      </c>
    </row>
    <row r="1770" spans="1:3" x14ac:dyDescent="0.15">
      <c r="A1770" s="1">
        <v>40687</v>
      </c>
      <c r="B1770" t="s">
        <v>353</v>
      </c>
      <c r="C1770" s="2" t="str">
        <f>HYPERLINK("http://snap.windin.com/ns/bulletin.php?id=1150739&amp;type=1", "围海股份:首次公开发行股票招股说明书")</f>
        <v>围海股份:首次公开发行股票招股说明书</v>
      </c>
    </row>
    <row r="1771" spans="1:3" x14ac:dyDescent="0.15">
      <c r="A1771" s="1">
        <v>40687</v>
      </c>
      <c r="B1771" t="s">
        <v>362</v>
      </c>
      <c r="C1771" s="2" t="str">
        <f>HYPERLINK("http://snap.windin.com/ns/bulletin.php?id=1145216&amp;type=1", "银禧科技:首次公开发行股票并在创业板上市上市公告书")</f>
        <v>银禧科技:首次公开发行股票并在创业板上市上市公告书</v>
      </c>
    </row>
    <row r="1772" spans="1:3" x14ac:dyDescent="0.15">
      <c r="A1772" s="1">
        <v>40687</v>
      </c>
      <c r="B1772" t="s">
        <v>351</v>
      </c>
      <c r="C1772" s="2" t="str">
        <f>HYPERLINK("http://snap.windin.com/ns/bulletin.php?id=1087719&amp;type=1", "西陇化工:首次公开发行股票招股说明书摘要")</f>
        <v>西陇化工:首次公开发行股票招股说明书摘要</v>
      </c>
    </row>
    <row r="1773" spans="1:3" x14ac:dyDescent="0.15">
      <c r="A1773" s="1">
        <v>40687</v>
      </c>
      <c r="B1773" t="s">
        <v>354</v>
      </c>
      <c r="C1773" s="2" t="str">
        <f>HYPERLINK("http://snap.windin.com/ns/bulletin.php?id=1014932&amp;type=1", "双星新材:首次公开发行股票招股说明书")</f>
        <v>双星新材:首次公开发行股票招股说明书</v>
      </c>
    </row>
    <row r="1774" spans="1:3" x14ac:dyDescent="0.15">
      <c r="A1774" s="1">
        <v>40687</v>
      </c>
      <c r="B1774" t="s">
        <v>354</v>
      </c>
      <c r="C1774" s="2" t="str">
        <f>HYPERLINK("http://snap.windin.com/ns/bulletin.php?id=946296&amp;type=1", "双星新材:首次公开发行股票招股说明书摘要")</f>
        <v>双星新材:首次公开发行股票招股说明书摘要</v>
      </c>
    </row>
    <row r="1775" spans="1:3" x14ac:dyDescent="0.15">
      <c r="A1775" s="1">
        <v>40687</v>
      </c>
      <c r="B1775" t="s">
        <v>361</v>
      </c>
      <c r="C1775" s="2" t="str">
        <f>HYPERLINK("http://snap.windin.com/ns/bulletin.php?id=895006&amp;type=1", "金运激光:首次公开发行股票并在创业板上市上市公告书提示性公告")</f>
        <v>金运激光:首次公开发行股票并在创业板上市上市公告书提示性公告</v>
      </c>
    </row>
    <row r="1776" spans="1:3" x14ac:dyDescent="0.15">
      <c r="A1776" s="1">
        <v>40687</v>
      </c>
      <c r="B1776" t="s">
        <v>344</v>
      </c>
      <c r="C1776" s="2" t="str">
        <f>HYPERLINK("http://snap.windin.com/ns/bulletin.php?id=894932&amp;type=1", "奥拓电子:首次公开发行股票并上市招股意向书摘要")</f>
        <v>奥拓电子:首次公开发行股票并上市招股意向书摘要</v>
      </c>
    </row>
    <row r="1777" spans="1:3" x14ac:dyDescent="0.15">
      <c r="A1777" s="1">
        <v>40687</v>
      </c>
      <c r="B1777" t="s">
        <v>342</v>
      </c>
      <c r="C1777" s="2" t="str">
        <f>HYPERLINK("http://snap.windin.com/ns/bulletin.php?id=827290&amp;type=1", "三星电气:首次公开发行股票招股意向书")</f>
        <v>三星电气:首次公开发行股票招股意向书</v>
      </c>
    </row>
    <row r="1778" spans="1:3" x14ac:dyDescent="0.15">
      <c r="A1778" s="1">
        <v>40687</v>
      </c>
      <c r="B1778" t="s">
        <v>344</v>
      </c>
      <c r="C1778" s="2" t="str">
        <f>HYPERLINK("http://snap.windin.com/ns/bulletin.php?id=715322&amp;type=1", "奥拓电子:首次公开发行股票并上市招股意向书")</f>
        <v>奥拓电子:首次公开发行股票并上市招股意向书</v>
      </c>
    </row>
    <row r="1779" spans="1:3" x14ac:dyDescent="0.15">
      <c r="A1779" s="1">
        <v>40687</v>
      </c>
      <c r="B1779" t="s">
        <v>345</v>
      </c>
      <c r="C1779" s="2" t="str">
        <f>HYPERLINK("http://snap.windin.com/ns/bulletin.php?id=659662&amp;type=1", "瑞康医药:首次公开发行股票招股意向书摘要")</f>
        <v>瑞康医药:首次公开发行股票招股意向书摘要</v>
      </c>
    </row>
    <row r="1780" spans="1:3" x14ac:dyDescent="0.15">
      <c r="A1780" s="1">
        <v>40687</v>
      </c>
      <c r="B1780" t="s">
        <v>343</v>
      </c>
      <c r="C1780" s="2" t="str">
        <f>HYPERLINK("http://snap.windin.com/ns/bulletin.php?id=633778&amp;type=1", "万安科技:首次公开发行股票并上市招股意向书摘要")</f>
        <v>万安科技:首次公开发行股票并上市招股意向书摘要</v>
      </c>
    </row>
    <row r="1781" spans="1:3" x14ac:dyDescent="0.15">
      <c r="A1781" s="1">
        <v>40687</v>
      </c>
      <c r="B1781" t="s">
        <v>363</v>
      </c>
      <c r="C1781" s="2" t="str">
        <f>HYPERLINK("http://snap.windin.com/ns/bulletin.php?id=475862&amp;type=1", "科大智能:首次公开发行股票并在创业板上市之上市公告书")</f>
        <v>科大智能:首次公开发行股票并在创业板上市之上市公告书</v>
      </c>
    </row>
    <row r="1782" spans="1:3" x14ac:dyDescent="0.15">
      <c r="A1782" s="1">
        <v>40683</v>
      </c>
      <c r="B1782" t="s">
        <v>347</v>
      </c>
      <c r="C1782" s="2" t="str">
        <f>HYPERLINK("http://snap.windin.com/ns/bulletin.php?id=19387662&amp;type=1", "光韵达:首次公开发行股票并在创业板上市招股意向书")</f>
        <v>光韵达:首次公开发行股票并在创业板上市招股意向书</v>
      </c>
    </row>
    <row r="1783" spans="1:3" x14ac:dyDescent="0.15">
      <c r="A1783" s="1">
        <v>40683</v>
      </c>
      <c r="B1783" t="s">
        <v>348</v>
      </c>
      <c r="C1783" s="2" t="str">
        <f>HYPERLINK("http://snap.windin.com/ns/bulletin.php?id=18993544&amp;type=1", "富瑞特装:首次公开发行股票并在创业板上市招股意向书")</f>
        <v>富瑞特装:首次公开发行股票并在创业板上市招股意向书</v>
      </c>
    </row>
    <row r="1784" spans="1:3" x14ac:dyDescent="0.15">
      <c r="A1784" s="1">
        <v>40683</v>
      </c>
      <c r="B1784" t="s">
        <v>349</v>
      </c>
      <c r="C1784" s="2" t="str">
        <f>HYPERLINK("http://snap.windin.com/ns/bulletin.php?id=18913844&amp;type=1", "上海钢联:首次公开发行股票并在创业板上市招股意向书")</f>
        <v>上海钢联:首次公开发行股票并在创业板上市招股意向书</v>
      </c>
    </row>
    <row r="1785" spans="1:3" x14ac:dyDescent="0.15">
      <c r="A1785" s="1">
        <v>40683</v>
      </c>
      <c r="B1785" t="s">
        <v>347</v>
      </c>
      <c r="C1785" s="2" t="str">
        <f>HYPERLINK("http://snap.windin.com/ns/bulletin.php?id=1804896&amp;type=1", "光韵达:首次公开发行股票并在创业板上市招股意向书")</f>
        <v>光韵达:首次公开发行股票并在创业板上市招股意向书</v>
      </c>
    </row>
    <row r="1786" spans="1:3" x14ac:dyDescent="0.15">
      <c r="A1786" s="1">
        <v>40683</v>
      </c>
      <c r="B1786" t="s">
        <v>348</v>
      </c>
      <c r="C1786" s="2" t="str">
        <f>HYPERLINK("http://snap.windin.com/ns/bulletin.php?id=1496092&amp;type=1", "富瑞特装:首次公开发行股票并在创业板上市招股意向书")</f>
        <v>富瑞特装:首次公开发行股票并在创业板上市招股意向书</v>
      </c>
    </row>
    <row r="1787" spans="1:3" x14ac:dyDescent="0.15">
      <c r="A1787" s="1">
        <v>40683</v>
      </c>
      <c r="B1787" t="s">
        <v>356</v>
      </c>
      <c r="C1787" s="2" t="str">
        <f>HYPERLINK("http://snap.windin.com/ns/bulletin.php?id=1423047&amp;type=1", "北京君正:首次公开发行股票并在创业板上市招股说明书")</f>
        <v>北京君正:首次公开发行股票并在创业板上市招股说明书</v>
      </c>
    </row>
    <row r="1788" spans="1:3" x14ac:dyDescent="0.15">
      <c r="A1788" s="1">
        <v>40683</v>
      </c>
      <c r="B1788" t="s">
        <v>357</v>
      </c>
      <c r="C1788" s="2" t="str">
        <f>HYPERLINK("http://snap.windin.com/ns/bulletin.php?id=987096&amp;type=1", "正海磁材:首次公开发行股票并在创业板上市招股说明书")</f>
        <v>正海磁材:首次公开发行股票并在创业板上市招股说明书</v>
      </c>
    </row>
    <row r="1789" spans="1:3" x14ac:dyDescent="0.15">
      <c r="A1789" s="1">
        <v>40683</v>
      </c>
      <c r="B1789" t="s">
        <v>355</v>
      </c>
      <c r="C1789" s="2" t="str">
        <f>HYPERLINK("http://snap.windin.com/ns/bulletin.php?id=791183&amp;type=1", "金力泰:首次公开发行股票并在创业板上市招股说明书")</f>
        <v>金力泰:首次公开发行股票并在创业板上市招股说明书</v>
      </c>
    </row>
    <row r="1790" spans="1:3" x14ac:dyDescent="0.15">
      <c r="A1790" s="1">
        <v>40683</v>
      </c>
      <c r="B1790" t="s">
        <v>349</v>
      </c>
      <c r="C1790" s="2" t="str">
        <f>HYPERLINK("http://snap.windin.com/ns/bulletin.php?id=558255&amp;type=1", "上海钢联:首次公开发行股票并在创业板上市招股意向书")</f>
        <v>上海钢联:首次公开发行股票并在创业板上市招股意向书</v>
      </c>
    </row>
    <row r="1791" spans="1:3" x14ac:dyDescent="0.15">
      <c r="A1791" s="1">
        <v>40682</v>
      </c>
      <c r="B1791" t="s">
        <v>364</v>
      </c>
      <c r="C1791" s="2" t="str">
        <f>HYPERLINK("http://snap.windin.com/ns/bulletin.php?id=1439461&amp;type=1", "东材科技:首次公开发行股票招股说明书")</f>
        <v>东材科技:首次公开发行股票招股说明书</v>
      </c>
    </row>
    <row r="1792" spans="1:3" x14ac:dyDescent="0.15">
      <c r="A1792" s="1">
        <v>40682</v>
      </c>
      <c r="B1792" t="s">
        <v>365</v>
      </c>
      <c r="C1792" s="2" t="str">
        <f>HYPERLINK("http://snap.windin.com/ns/bulletin.php?id=787441&amp;type=1", "好想你:首次公开发行股票上市公告书")</f>
        <v>好想你:首次公开发行股票上市公告书</v>
      </c>
    </row>
    <row r="1793" spans="1:3" x14ac:dyDescent="0.15">
      <c r="A1793" s="1">
        <v>40682</v>
      </c>
      <c r="B1793" t="s">
        <v>366</v>
      </c>
      <c r="C1793" s="2" t="str">
        <f>HYPERLINK("http://snap.windin.com/ns/bulletin.php?id=573339&amp;type=1", "万昌科技:首次公开发行股票上市公告书")</f>
        <v>万昌科技:首次公开发行股票上市公告书</v>
      </c>
    </row>
    <row r="1794" spans="1:3" x14ac:dyDescent="0.15">
      <c r="A1794" s="1">
        <v>40682</v>
      </c>
      <c r="B1794" t="s">
        <v>364</v>
      </c>
      <c r="C1794" s="2" t="str">
        <f>HYPERLINK("http://snap.windin.com/ns/bulletin.php?id=227916&amp;type=1", "东材科技:首次公开发行A股股票上市公告书")</f>
        <v>东材科技:首次公开发行A股股票上市公告书</v>
      </c>
    </row>
    <row r="1795" spans="1:3" x14ac:dyDescent="0.15">
      <c r="A1795" s="1">
        <v>40680</v>
      </c>
      <c r="B1795" t="s">
        <v>353</v>
      </c>
      <c r="C1795" s="2" t="str">
        <f>HYPERLINK("http://snap.windin.com/ns/bulletin.php?id=18534648&amp;type=1", "围海股份:首次公开发行股票招股意向书")</f>
        <v>围海股份:首次公开发行股票招股意向书</v>
      </c>
    </row>
    <row r="1796" spans="1:3" x14ac:dyDescent="0.15">
      <c r="A1796" s="1">
        <v>40680</v>
      </c>
      <c r="B1796" t="s">
        <v>367</v>
      </c>
      <c r="C1796" s="2" t="str">
        <f>HYPERLINK("http://snap.windin.com/ns/bulletin.php?id=2112024&amp;type=1", "安利股份:首次公开发行股票并在创业板上市公告书")</f>
        <v>安利股份:首次公开发行股票并在创业板上市公告书</v>
      </c>
    </row>
    <row r="1797" spans="1:3" x14ac:dyDescent="0.15">
      <c r="A1797" s="1">
        <v>40680</v>
      </c>
      <c r="B1797" t="s">
        <v>350</v>
      </c>
      <c r="C1797" s="2" t="str">
        <f>HYPERLINK("http://snap.windin.com/ns/bulletin.php?id=1926715&amp;type=1", "文峰股份:文峰股份首次公开发行股票招股意向书（摘要）")</f>
        <v>文峰股份:文峰股份首次公开发行股票招股意向书（摘要）</v>
      </c>
    </row>
    <row r="1798" spans="1:3" x14ac:dyDescent="0.15">
      <c r="A1798" s="1">
        <v>40680</v>
      </c>
      <c r="B1798" t="s">
        <v>352</v>
      </c>
      <c r="C1798" s="2" t="str">
        <f>HYPERLINK("http://snap.windin.com/ns/bulletin.php?id=1889919&amp;type=1", "骆驼股份:首次公开发行股票招股意向书摘要")</f>
        <v>骆驼股份:首次公开发行股票招股意向书摘要</v>
      </c>
    </row>
    <row r="1799" spans="1:3" x14ac:dyDescent="0.15">
      <c r="A1799" s="1">
        <v>40680</v>
      </c>
      <c r="B1799" t="s">
        <v>353</v>
      </c>
      <c r="C1799" s="2" t="str">
        <f>HYPERLINK("http://snap.windin.com/ns/bulletin.php?id=1887277&amp;type=1", "围海股份:首次公开发行股票招股意向书")</f>
        <v>围海股份:首次公开发行股票招股意向书</v>
      </c>
    </row>
    <row r="1800" spans="1:3" x14ac:dyDescent="0.15">
      <c r="A1800" s="1">
        <v>40680</v>
      </c>
      <c r="B1800" t="s">
        <v>368</v>
      </c>
      <c r="C1800" s="2" t="str">
        <f>HYPERLINK("http://snap.windin.com/ns/bulletin.php?id=1872668&amp;type=1", "东方电热:首次公开发行股票并在创业板上市公告书提示性公告")</f>
        <v>东方电热:首次公开发行股票并在创业板上市公告书提示性公告</v>
      </c>
    </row>
    <row r="1801" spans="1:3" x14ac:dyDescent="0.15">
      <c r="A1801" s="1">
        <v>40680</v>
      </c>
      <c r="B1801" t="s">
        <v>352</v>
      </c>
      <c r="C1801" s="2" t="str">
        <f>HYPERLINK("http://snap.windin.com/ns/bulletin.php?id=1854296&amp;type=1", "骆驼股份:首次公开发行股票招股意向书附录三")</f>
        <v>骆驼股份:首次公开发行股票招股意向书附录三</v>
      </c>
    </row>
    <row r="1802" spans="1:3" x14ac:dyDescent="0.15">
      <c r="A1802" s="1">
        <v>40680</v>
      </c>
      <c r="B1802" t="s">
        <v>350</v>
      </c>
      <c r="C1802" s="2" t="str">
        <f>HYPERLINK("http://snap.windin.com/ns/bulletin.php?id=1688957&amp;type=1", "文峰股份:文峰股份首次公开发行股票招股意向书附录")</f>
        <v>文峰股份:文峰股份首次公开发行股票招股意向书附录</v>
      </c>
    </row>
    <row r="1803" spans="1:3" x14ac:dyDescent="0.15">
      <c r="A1803" s="1">
        <v>40680</v>
      </c>
      <c r="B1803" t="s">
        <v>369</v>
      </c>
      <c r="C1803" s="2" t="str">
        <f>HYPERLINK("http://snap.windin.com/ns/bulletin.php?id=1350421&amp;type=1", "桐昆股份:首次公开发行A股股票上市公告书")</f>
        <v>桐昆股份:首次公开发行A股股票上市公告书</v>
      </c>
    </row>
    <row r="1804" spans="1:3" x14ac:dyDescent="0.15">
      <c r="A1804" s="1">
        <v>40680</v>
      </c>
      <c r="B1804" t="s">
        <v>352</v>
      </c>
      <c r="C1804" s="2" t="str">
        <f>HYPERLINK("http://snap.windin.com/ns/bulletin.php?id=1346829&amp;type=1", "骆驼股份:首次公开发行股票招股意向书")</f>
        <v>骆驼股份:首次公开发行股票招股意向书</v>
      </c>
    </row>
    <row r="1805" spans="1:3" x14ac:dyDescent="0.15">
      <c r="A1805" s="1">
        <v>40680</v>
      </c>
      <c r="B1805" t="s">
        <v>354</v>
      </c>
      <c r="C1805" s="2" t="str">
        <f>HYPERLINK("http://snap.windin.com/ns/bulletin.php?id=1088745&amp;type=1", "双星新材:首次公开发行股票招股意向书")</f>
        <v>双星新材:首次公开发行股票招股意向书</v>
      </c>
    </row>
    <row r="1806" spans="1:3" x14ac:dyDescent="0.15">
      <c r="A1806" s="1">
        <v>40680</v>
      </c>
      <c r="B1806" t="s">
        <v>350</v>
      </c>
      <c r="C1806" s="2" t="str">
        <f>HYPERLINK("http://snap.windin.com/ns/bulletin.php?id=1041827&amp;type=1", "文峰股份:文峰股份首次公开发行股票招股意向书")</f>
        <v>文峰股份:文峰股份首次公开发行股票招股意向书</v>
      </c>
    </row>
    <row r="1807" spans="1:3" x14ac:dyDescent="0.15">
      <c r="A1807" s="1">
        <v>40680</v>
      </c>
      <c r="B1807" t="s">
        <v>352</v>
      </c>
      <c r="C1807" s="2" t="str">
        <f>HYPERLINK("http://snap.windin.com/ns/bulletin.php?id=1005781&amp;type=1", "骆驼股份:首次公开发行股票招股意向书附录二")</f>
        <v>骆驼股份:首次公开发行股票招股意向书附录二</v>
      </c>
    </row>
    <row r="1808" spans="1:3" x14ac:dyDescent="0.15">
      <c r="A1808" s="1">
        <v>40680</v>
      </c>
      <c r="B1808" t="s">
        <v>367</v>
      </c>
      <c r="C1808" s="2" t="str">
        <f>HYPERLINK("http://snap.windin.com/ns/bulletin.php?id=897682&amp;type=1", "安利股份:首次公开发行股票并在创业板上市公告书提示性公告")</f>
        <v>安利股份:首次公开发行股票并在创业板上市公告书提示性公告</v>
      </c>
    </row>
    <row r="1809" spans="1:3" x14ac:dyDescent="0.15">
      <c r="A1809" s="1">
        <v>40680</v>
      </c>
      <c r="B1809" t="s">
        <v>360</v>
      </c>
      <c r="C1809" s="2" t="str">
        <f>HYPERLINK("http://snap.windin.com/ns/bulletin.php?id=894410&amp;type=1", "海能达:首次公开发行股票招股说明书")</f>
        <v>海能达:首次公开发行股票招股说明书</v>
      </c>
    </row>
    <row r="1810" spans="1:3" x14ac:dyDescent="0.15">
      <c r="A1810" s="1">
        <v>40680</v>
      </c>
      <c r="B1810" t="s">
        <v>353</v>
      </c>
      <c r="C1810" s="2" t="str">
        <f>HYPERLINK("http://snap.windin.com/ns/bulletin.php?id=882491&amp;type=1", "围海股份:首次公开发行股票招股意向书摘要")</f>
        <v>围海股份:首次公开发行股票招股意向书摘要</v>
      </c>
    </row>
    <row r="1811" spans="1:3" x14ac:dyDescent="0.15">
      <c r="A1811" s="1">
        <v>40680</v>
      </c>
      <c r="B1811" t="s">
        <v>360</v>
      </c>
      <c r="C1811" s="2" t="str">
        <f>HYPERLINK("http://snap.windin.com/ns/bulletin.php?id=864381&amp;type=1", "海能达:首次公开发行股票招股说明书摘要")</f>
        <v>海能达:首次公开发行股票招股说明书摘要</v>
      </c>
    </row>
    <row r="1812" spans="1:3" x14ac:dyDescent="0.15">
      <c r="A1812" s="1">
        <v>40680</v>
      </c>
      <c r="B1812" t="s">
        <v>351</v>
      </c>
      <c r="C1812" s="2" t="str">
        <f>HYPERLINK("http://snap.windin.com/ns/bulletin.php?id=770312&amp;type=1", "西陇化工:首次公开发行股票招股意向书摘要")</f>
        <v>西陇化工:首次公开发行股票招股意向书摘要</v>
      </c>
    </row>
    <row r="1813" spans="1:3" x14ac:dyDescent="0.15">
      <c r="A1813" s="1">
        <v>40680</v>
      </c>
      <c r="B1813" t="s">
        <v>351</v>
      </c>
      <c r="C1813" s="2" t="str">
        <f>HYPERLINK("http://snap.windin.com/ns/bulletin.php?id=651614&amp;type=1", "西陇化工:首次公开发行股票招股意向书")</f>
        <v>西陇化工:首次公开发行股票招股意向书</v>
      </c>
    </row>
    <row r="1814" spans="1:3" x14ac:dyDescent="0.15">
      <c r="A1814" s="1">
        <v>40680</v>
      </c>
      <c r="B1814" t="s">
        <v>354</v>
      </c>
      <c r="C1814" s="2" t="str">
        <f>HYPERLINK("http://snap.windin.com/ns/bulletin.php?id=623858&amp;type=1", "双星新材:首次公开发行股票招股意向书摘要")</f>
        <v>双星新材:首次公开发行股票招股意向书摘要</v>
      </c>
    </row>
    <row r="1815" spans="1:3" x14ac:dyDescent="0.15">
      <c r="A1815" s="1">
        <v>40680</v>
      </c>
      <c r="B1815" t="s">
        <v>368</v>
      </c>
      <c r="C1815" s="2" t="str">
        <f>HYPERLINK("http://snap.windin.com/ns/bulletin.php?id=605180&amp;type=1", "东方电热:首次公开发行股票并在创业板上市公告书")</f>
        <v>东方电热:首次公开发行股票并在创业板上市公告书</v>
      </c>
    </row>
    <row r="1816" spans="1:3" x14ac:dyDescent="0.15">
      <c r="A1816" s="1">
        <v>40680</v>
      </c>
      <c r="B1816" t="s">
        <v>352</v>
      </c>
      <c r="C1816" s="2" t="str">
        <f>HYPERLINK("http://snap.windin.com/ns/bulletin.php?id=579740&amp;type=1", "骆驼股份:首次公开发行股票招股意向书附录一")</f>
        <v>骆驼股份:首次公开发行股票招股意向书附录一</v>
      </c>
    </row>
    <row r="1817" spans="1:3" x14ac:dyDescent="0.15">
      <c r="A1817" s="1">
        <v>40680</v>
      </c>
      <c r="B1817" t="s">
        <v>370</v>
      </c>
      <c r="C1817" s="2" t="str">
        <f>HYPERLINK("http://snap.windin.com/ns/bulletin.php?id=577431&amp;type=1", "鸿利光电:首次公开发行股票并在创业板上市上市公告书提示公告")</f>
        <v>鸿利光电:首次公开发行股票并在创业板上市上市公告书提示公告</v>
      </c>
    </row>
    <row r="1818" spans="1:3" x14ac:dyDescent="0.15">
      <c r="A1818" s="1">
        <v>40680</v>
      </c>
      <c r="B1818" t="s">
        <v>370</v>
      </c>
      <c r="C1818" s="2" t="str">
        <f>HYPERLINK("http://snap.windin.com/ns/bulletin.php?id=480083&amp;type=1", "鸿利光电:首次公开发行股票并在创业板上市公告书")</f>
        <v>鸿利光电:首次公开发行股票并在创业板上市公告书</v>
      </c>
    </row>
    <row r="1819" spans="1:3" x14ac:dyDescent="0.15">
      <c r="A1819" s="1">
        <v>40680</v>
      </c>
      <c r="B1819" t="s">
        <v>369</v>
      </c>
      <c r="C1819" s="2" t="str">
        <f>HYPERLINK("http://snap.windin.com/ns/bulletin.php?id=184827&amp;type=1", "桐昆股份:首次公告发行股票并上市招股说明书")</f>
        <v>桐昆股份:首次公告发行股票并上市招股说明书</v>
      </c>
    </row>
    <row r="1820" spans="1:3" x14ac:dyDescent="0.15">
      <c r="A1820" s="1">
        <v>40676</v>
      </c>
      <c r="B1820" t="s">
        <v>355</v>
      </c>
      <c r="C1820" s="2" t="str">
        <f>HYPERLINK("http://snap.windin.com/ns/bulletin.php?id=19221742&amp;type=1", "金力泰:首次公开发行股票并在创业板上市招股意向书")</f>
        <v>金力泰:首次公开发行股票并在创业板上市招股意向书</v>
      </c>
    </row>
    <row r="1821" spans="1:3" x14ac:dyDescent="0.15">
      <c r="A1821" s="1">
        <v>40676</v>
      </c>
      <c r="B1821" t="s">
        <v>356</v>
      </c>
      <c r="C1821" s="2" t="str">
        <f>HYPERLINK("http://snap.windin.com/ns/bulletin.php?id=18662508&amp;type=1", "北京君正:首次公开发行股票并在创业板上市招股意向书")</f>
        <v>北京君正:首次公开发行股票并在创业板上市招股意向书</v>
      </c>
    </row>
    <row r="1822" spans="1:3" x14ac:dyDescent="0.15">
      <c r="A1822" s="1">
        <v>40676</v>
      </c>
      <c r="B1822" t="s">
        <v>357</v>
      </c>
      <c r="C1822" s="2" t="str">
        <f>HYPERLINK("http://snap.windin.com/ns/bulletin.php?id=18534348&amp;type=1", "正海磁材:首次公开发行股票并在创业板上市招股意向书")</f>
        <v>正海磁材:首次公开发行股票并在创业板上市招股意向书</v>
      </c>
    </row>
    <row r="1823" spans="1:3" x14ac:dyDescent="0.15">
      <c r="A1823" s="1">
        <v>40676</v>
      </c>
      <c r="B1823" t="s">
        <v>363</v>
      </c>
      <c r="C1823" s="2" t="str">
        <f>HYPERLINK("http://snap.windin.com/ns/bulletin.php?id=2009870&amp;type=1", "科大智能:首次公开发行股票并在创业板上市招股说明书")</f>
        <v>科大智能:首次公开发行股票并在创业板上市招股说明书</v>
      </c>
    </row>
    <row r="1824" spans="1:3" x14ac:dyDescent="0.15">
      <c r="A1824" s="1">
        <v>40676</v>
      </c>
      <c r="B1824" t="s">
        <v>355</v>
      </c>
      <c r="C1824" s="2" t="str">
        <f>HYPERLINK("http://snap.windin.com/ns/bulletin.php?id=696935&amp;type=1", "金力泰:首次公开发行股票并在创业板上市招股意向书")</f>
        <v>金力泰:首次公开发行股票并在创业板上市招股意向书</v>
      </c>
    </row>
    <row r="1825" spans="1:3" x14ac:dyDescent="0.15">
      <c r="A1825" s="1">
        <v>40676</v>
      </c>
      <c r="B1825" t="s">
        <v>357</v>
      </c>
      <c r="C1825" s="2" t="str">
        <f>HYPERLINK("http://snap.windin.com/ns/bulletin.php?id=587612&amp;type=1", "正海磁材:首次公开发行股票并在创业板上市招股意向书")</f>
        <v>正海磁材:首次公开发行股票并在创业板上市招股意向书</v>
      </c>
    </row>
    <row r="1826" spans="1:3" x14ac:dyDescent="0.15">
      <c r="A1826" s="1">
        <v>40676</v>
      </c>
      <c r="B1826" t="s">
        <v>361</v>
      </c>
      <c r="C1826" s="2" t="str">
        <f>HYPERLINK("http://snap.windin.com/ns/bulletin.php?id=546526&amp;type=1", "金运激光:首次公开发行股票并在创业板上市招股说明书")</f>
        <v>金运激光:首次公开发行股票并在创业板上市招股说明书</v>
      </c>
    </row>
    <row r="1827" spans="1:3" x14ac:dyDescent="0.15">
      <c r="A1827" s="1">
        <v>40676</v>
      </c>
      <c r="B1827" t="s">
        <v>362</v>
      </c>
      <c r="C1827" s="2" t="str">
        <f>HYPERLINK("http://snap.windin.com/ns/bulletin.php?id=406138&amp;type=1", "银禧科技:首次公开发行股票并在创业板上市招股说明书")</f>
        <v>银禧科技:首次公开发行股票并在创业板上市招股说明书</v>
      </c>
    </row>
    <row r="1828" spans="1:3" x14ac:dyDescent="0.15">
      <c r="A1828" s="1">
        <v>40676</v>
      </c>
      <c r="B1828" t="s">
        <v>356</v>
      </c>
      <c r="C1828" s="2" t="str">
        <f>HYPERLINK("http://snap.windin.com/ns/bulletin.php?id=200655&amp;type=1", "北京君正:首次公开发行股票并在创业板上市招股意向书")</f>
        <v>北京君正:首次公开发行股票并在创业板上市招股意向书</v>
      </c>
    </row>
    <row r="1829" spans="1:3" x14ac:dyDescent="0.15">
      <c r="A1829" s="1">
        <v>40674</v>
      </c>
      <c r="B1829" t="s">
        <v>365</v>
      </c>
      <c r="C1829" s="2" t="str">
        <f>HYPERLINK("http://snap.windin.com/ns/bulletin.php?id=989626&amp;type=1", "好想你:首次公开发行股票招股说明书")</f>
        <v>好想你:首次公开发行股票招股说明书</v>
      </c>
    </row>
    <row r="1830" spans="1:3" x14ac:dyDescent="0.15">
      <c r="A1830" s="1">
        <v>40674</v>
      </c>
      <c r="B1830" t="s">
        <v>365</v>
      </c>
      <c r="C1830" s="2" t="str">
        <f>HYPERLINK("http://snap.windin.com/ns/bulletin.php?id=235186&amp;type=1", "好想你:首次公开发行股票招股说明书摘要")</f>
        <v>好想你:首次公开发行股票招股说明书摘要</v>
      </c>
    </row>
    <row r="1831" spans="1:3" x14ac:dyDescent="0.15">
      <c r="A1831" s="1">
        <v>40673</v>
      </c>
      <c r="B1831" t="s">
        <v>371</v>
      </c>
      <c r="C1831" s="2" t="str">
        <f>HYPERLINK("http://snap.windin.com/ns/bulletin.php?id=2089637&amp;type=1", "电科院:首次公开发行股票并在创业板上市公告书")</f>
        <v>电科院:首次公开发行股票并在创业板上市公告书</v>
      </c>
    </row>
    <row r="1832" spans="1:3" x14ac:dyDescent="0.15">
      <c r="A1832" s="1">
        <v>40673</v>
      </c>
      <c r="B1832" t="s">
        <v>358</v>
      </c>
      <c r="C1832" s="2" t="str">
        <f>HYPERLINK("http://snap.windin.com/ns/bulletin.php?id=1954106&amp;type=1", "九牧王:首次公开发行股票招股意向书附录")</f>
        <v>九牧王:首次公开发行股票招股意向书附录</v>
      </c>
    </row>
    <row r="1833" spans="1:3" x14ac:dyDescent="0.15">
      <c r="A1833" s="1">
        <v>40673</v>
      </c>
      <c r="B1833" t="s">
        <v>359</v>
      </c>
      <c r="C1833" s="2" t="str">
        <f>HYPERLINK("http://snap.windin.com/ns/bulletin.php?id=1839425&amp;type=1", "鹿港科技:首次公开发行股票招股意向书摘要")</f>
        <v>鹿港科技:首次公开发行股票招股意向书摘要</v>
      </c>
    </row>
    <row r="1834" spans="1:3" x14ac:dyDescent="0.15">
      <c r="A1834" s="1">
        <v>40673</v>
      </c>
      <c r="B1834" t="s">
        <v>371</v>
      </c>
      <c r="C1834" s="2" t="str">
        <f>HYPERLINK("http://snap.windin.com/ns/bulletin.php?id=1546958&amp;type=1", "电科院:首次公开发行股票并在创业板上市公告书提示性公告")</f>
        <v>电科院:首次公开发行股票并在创业板上市公告书提示性公告</v>
      </c>
    </row>
    <row r="1835" spans="1:3" x14ac:dyDescent="0.15">
      <c r="A1835" s="1">
        <v>40673</v>
      </c>
      <c r="B1835" t="s">
        <v>372</v>
      </c>
      <c r="C1835" s="2" t="str">
        <f>HYPERLINK("http://snap.windin.com/ns/bulletin.php?id=1409751&amp;type=1", "日科化学:首次公开发行股票并在创业板上市之上市公告书")</f>
        <v>日科化学:首次公开发行股票并在创业板上市之上市公告书</v>
      </c>
    </row>
    <row r="1836" spans="1:3" x14ac:dyDescent="0.15">
      <c r="A1836" s="1">
        <v>40673</v>
      </c>
      <c r="B1836" t="s">
        <v>358</v>
      </c>
      <c r="C1836" s="2" t="str">
        <f>HYPERLINK("http://snap.windin.com/ns/bulletin.php?id=1393474&amp;type=1", "九牧王:首次公开发行股票招股意向书")</f>
        <v>九牧王:首次公开发行股票招股意向书</v>
      </c>
    </row>
    <row r="1837" spans="1:3" x14ac:dyDescent="0.15">
      <c r="A1837" s="1">
        <v>40673</v>
      </c>
      <c r="B1837" t="s">
        <v>373</v>
      </c>
      <c r="C1837" s="2" t="str">
        <f>HYPERLINK("http://snap.windin.com/ns/bulletin.php?id=1304821&amp;type=1", "千山药机:首次公开发行股票并在创业板上市上市公告书")</f>
        <v>千山药机:首次公开发行股票并在创业板上市上市公告书</v>
      </c>
    </row>
    <row r="1838" spans="1:3" x14ac:dyDescent="0.15">
      <c r="A1838" s="1">
        <v>40673</v>
      </c>
      <c r="B1838" t="s">
        <v>358</v>
      </c>
      <c r="C1838" s="2" t="str">
        <f>HYPERLINK("http://snap.windin.com/ns/bulletin.php?id=1291371&amp;type=1", "九牧王:首次公开发行股票招股意向书摘要")</f>
        <v>九牧王:首次公开发行股票招股意向书摘要</v>
      </c>
    </row>
    <row r="1839" spans="1:3" x14ac:dyDescent="0.15">
      <c r="A1839" s="1">
        <v>40673</v>
      </c>
      <c r="B1839" t="s">
        <v>359</v>
      </c>
      <c r="C1839" s="2" t="str">
        <f>HYPERLINK("http://snap.windin.com/ns/bulletin.php?id=1159807&amp;type=1", "鹿港科技:首次公开发行股票招股意向书附录二")</f>
        <v>鹿港科技:首次公开发行股票招股意向书附录二</v>
      </c>
    </row>
    <row r="1840" spans="1:3" x14ac:dyDescent="0.15">
      <c r="A1840" s="1">
        <v>40673</v>
      </c>
      <c r="B1840" t="s">
        <v>359</v>
      </c>
      <c r="C1840" s="2" t="str">
        <f>HYPERLINK("http://snap.windin.com/ns/bulletin.php?id=928125&amp;type=1", "鹿港科技:首次公开发行股票招股意向书附录一")</f>
        <v>鹿港科技:首次公开发行股票招股意向书附录一</v>
      </c>
    </row>
    <row r="1841" spans="1:3" x14ac:dyDescent="0.15">
      <c r="A1841" s="1">
        <v>40673</v>
      </c>
      <c r="B1841" t="s">
        <v>359</v>
      </c>
      <c r="C1841" s="2" t="str">
        <f>HYPERLINK("http://snap.windin.com/ns/bulletin.php?id=920736&amp;type=1", "鹿港科技:首次公开发行股票招股意向书")</f>
        <v>鹿港科技:首次公开发行股票招股意向书</v>
      </c>
    </row>
    <row r="1842" spans="1:3" x14ac:dyDescent="0.15">
      <c r="A1842" s="1">
        <v>40673</v>
      </c>
      <c r="B1842" t="s">
        <v>360</v>
      </c>
      <c r="C1842" s="2" t="str">
        <f>HYPERLINK("http://snap.windin.com/ns/bulletin.php?id=548604&amp;type=1", "海能达:首次公开发行股票招股意向书摘要")</f>
        <v>海能达:首次公开发行股票招股意向书摘要</v>
      </c>
    </row>
    <row r="1843" spans="1:3" x14ac:dyDescent="0.15">
      <c r="A1843" s="1">
        <v>40673</v>
      </c>
      <c r="B1843" t="s">
        <v>373</v>
      </c>
      <c r="C1843" s="2" t="str">
        <f>HYPERLINK("http://snap.windin.com/ns/bulletin.php?id=465006&amp;type=1", "千山药机:首次公开发行股票并在创业板上市公告书提示性公告")</f>
        <v>千山药机:首次公开发行股票并在创业板上市公告书提示性公告</v>
      </c>
    </row>
    <row r="1844" spans="1:3" x14ac:dyDescent="0.15">
      <c r="A1844" s="1">
        <v>40673</v>
      </c>
      <c r="B1844" t="s">
        <v>360</v>
      </c>
      <c r="C1844" s="2" t="str">
        <f>HYPERLINK("http://snap.windin.com/ns/bulletin.php?id=417129&amp;type=1", "海能达:首次公开发行股票招股意向书")</f>
        <v>海能达:首次公开发行股票招股意向书</v>
      </c>
    </row>
    <row r="1845" spans="1:3" x14ac:dyDescent="0.15">
      <c r="A1845" s="1">
        <v>40673</v>
      </c>
      <c r="B1845" t="s">
        <v>359</v>
      </c>
      <c r="C1845" s="2" t="str">
        <f>HYPERLINK("http://snap.windin.com/ns/bulletin.php?id=233562&amp;type=1", "鹿港科技:首次公开发行股票招股意向书附录三")</f>
        <v>鹿港科技:首次公开发行股票招股意向书附录三</v>
      </c>
    </row>
    <row r="1846" spans="1:3" x14ac:dyDescent="0.15">
      <c r="A1846" s="1">
        <v>40673</v>
      </c>
      <c r="B1846" t="s">
        <v>372</v>
      </c>
      <c r="C1846" s="2" t="str">
        <f>HYPERLINK("http://snap.windin.com/ns/bulletin.php?id=224666&amp;type=1", "日科化学:首次公开发行股票并在创业板上市之上市公告书提示性公告")</f>
        <v>日科化学:首次公开发行股票并在创业板上市之上市公告书提示性公告</v>
      </c>
    </row>
    <row r="1847" spans="1:3" x14ac:dyDescent="0.15">
      <c r="A1847" s="1">
        <v>40672</v>
      </c>
      <c r="B1847" t="s">
        <v>367</v>
      </c>
      <c r="C1847" s="2" t="str">
        <f>HYPERLINK("http://snap.windin.com/ns/bulletin.php?id=1996398&amp;type=1", "安利股份:首次公开发行股票并在创业板上市招股说明书")</f>
        <v>安利股份:首次公开发行股票并在创业板上市招股说明书</v>
      </c>
    </row>
    <row r="1848" spans="1:3" x14ac:dyDescent="0.15">
      <c r="A1848" s="1">
        <v>40672</v>
      </c>
      <c r="B1848" t="s">
        <v>368</v>
      </c>
      <c r="C1848" s="2" t="str">
        <f>HYPERLINK("http://snap.windin.com/ns/bulletin.php?id=1629037&amp;type=1", "东方电热:首次公开发行股票并在创业板上市招股说明书")</f>
        <v>东方电热:首次公开发行股票并在创业板上市招股说明书</v>
      </c>
    </row>
    <row r="1849" spans="1:3" x14ac:dyDescent="0.15">
      <c r="A1849" s="1">
        <v>40672</v>
      </c>
      <c r="B1849" t="s">
        <v>370</v>
      </c>
      <c r="C1849" s="2" t="str">
        <f>HYPERLINK("http://snap.windin.com/ns/bulletin.php?id=901500&amp;type=1", "鸿利光电:首次公开发行股票并在创业板上市招股说明书")</f>
        <v>鸿利光电:首次公开发行股票并在创业板上市招股说明书</v>
      </c>
    </row>
    <row r="1850" spans="1:3" x14ac:dyDescent="0.15">
      <c r="A1850" s="1">
        <v>40669</v>
      </c>
      <c r="B1850" t="s">
        <v>361</v>
      </c>
      <c r="C1850" s="2" t="str">
        <f>HYPERLINK("http://snap.windin.com/ns/bulletin.php?id=19448058&amp;type=1", "金运激光:首次公开发行股票并在创业板上市招股意向书")</f>
        <v>金运激光:首次公开发行股票并在创业板上市招股意向书</v>
      </c>
    </row>
    <row r="1851" spans="1:3" x14ac:dyDescent="0.15">
      <c r="A1851" s="1">
        <v>40669</v>
      </c>
      <c r="B1851" t="s">
        <v>374</v>
      </c>
      <c r="C1851" s="2" t="str">
        <f>HYPERLINK("http://snap.windin.com/ns/bulletin.php?id=1973229&amp;type=1", "华鼎锦纶:首次公开发行A股股票上市公告书")</f>
        <v>华鼎锦纶:首次公开发行A股股票上市公告书</v>
      </c>
    </row>
    <row r="1852" spans="1:3" x14ac:dyDescent="0.15">
      <c r="A1852" s="1">
        <v>40669</v>
      </c>
      <c r="B1852" t="s">
        <v>361</v>
      </c>
      <c r="C1852" s="2" t="str">
        <f>HYPERLINK("http://snap.windin.com/ns/bulletin.php?id=1344170&amp;type=1", "金运激光:首次公开发行股票并在创业板上市招股意向书")</f>
        <v>金运激光:首次公开发行股票并在创业板上市招股意向书</v>
      </c>
    </row>
    <row r="1853" spans="1:3" x14ac:dyDescent="0.15">
      <c r="A1853" s="1">
        <v>40669</v>
      </c>
      <c r="B1853" t="s">
        <v>362</v>
      </c>
      <c r="C1853" s="2" t="str">
        <f>HYPERLINK("http://snap.windin.com/ns/bulletin.php?id=1010855&amp;type=1", "银禧科技:首次公开发行股票并在创业板上市招股意向书")</f>
        <v>银禧科技:首次公开发行股票并在创业板上市招股意向书</v>
      </c>
    </row>
    <row r="1854" spans="1:3" x14ac:dyDescent="0.15">
      <c r="A1854" s="1">
        <v>40669</v>
      </c>
      <c r="B1854" t="s">
        <v>375</v>
      </c>
      <c r="C1854" s="2" t="str">
        <f>HYPERLINK("http://snap.windin.com/ns/bulletin.php?id=803555&amp;type=1", "上海医药:关于刊发H股招股说明书、H股发行价格区间及H股香港公开发售等相关事宜的公告")</f>
        <v>上海医药:关于刊发H股招股说明书、H股发行价格区间及H股香港公开发售等相关事宜的公告</v>
      </c>
    </row>
    <row r="1855" spans="1:3" x14ac:dyDescent="0.15">
      <c r="A1855" s="1">
        <v>40669</v>
      </c>
      <c r="B1855" t="s">
        <v>363</v>
      </c>
      <c r="C1855" s="2" t="str">
        <f>HYPERLINK("http://snap.windin.com/ns/bulletin.php?id=752607&amp;type=1", "科大智能:首次公开发行股票并在创业板上市招股意向书")</f>
        <v>科大智能:首次公开发行股票并在创业板上市招股意向书</v>
      </c>
    </row>
    <row r="1856" spans="1:3" x14ac:dyDescent="0.15">
      <c r="A1856" s="1">
        <v>40669</v>
      </c>
      <c r="B1856" t="s">
        <v>374</v>
      </c>
      <c r="C1856" s="2" t="str">
        <f>HYPERLINK("http://snap.windin.com/ns/bulletin.php?id=439291&amp;type=1", "华鼎锦纶:首次公开发行股票招股说明书")</f>
        <v>华鼎锦纶:首次公开发行股票招股说明书</v>
      </c>
    </row>
    <row r="1857" spans="1:3" x14ac:dyDescent="0.15">
      <c r="A1857" s="1">
        <v>40668</v>
      </c>
      <c r="B1857" t="s">
        <v>376</v>
      </c>
      <c r="C1857" s="2" t="str">
        <f>HYPERLINK("http://snap.windin.com/ns/bulletin.php?id=1859080&amp;type=1", "圣阳股份:首次公开发行股票上市公告书")</f>
        <v>圣阳股份:首次公开发行股票上市公告书</v>
      </c>
    </row>
    <row r="1858" spans="1:3" x14ac:dyDescent="0.15">
      <c r="A1858" s="1">
        <v>40668</v>
      </c>
      <c r="B1858" t="s">
        <v>377</v>
      </c>
      <c r="C1858" s="2" t="str">
        <f>HYPERLINK("http://snap.windin.com/ns/bulletin.php?id=1597808&amp;type=1", "中京电子:首次公开发行股票上市公告书")</f>
        <v>中京电子:首次公开发行股票上市公告书</v>
      </c>
    </row>
    <row r="1859" spans="1:3" x14ac:dyDescent="0.15">
      <c r="A1859" s="1">
        <v>40668</v>
      </c>
      <c r="B1859" t="s">
        <v>378</v>
      </c>
      <c r="C1859" s="2" t="str">
        <f>HYPERLINK("http://snap.windin.com/ns/bulletin.php?id=1586262&amp;type=1", "吉鑫科技:首次公开发行股票招股说明书")</f>
        <v>吉鑫科技:首次公开发行股票招股说明书</v>
      </c>
    </row>
    <row r="1860" spans="1:3" x14ac:dyDescent="0.15">
      <c r="A1860" s="1">
        <v>40668</v>
      </c>
      <c r="B1860" t="s">
        <v>378</v>
      </c>
      <c r="C1860" s="2" t="str">
        <f>HYPERLINK("http://snap.windin.com/ns/bulletin.php?id=599801&amp;type=1", "吉鑫科技:首次公开发行股票上市公告书")</f>
        <v>吉鑫科技:首次公开发行股票上市公告书</v>
      </c>
    </row>
    <row r="1861" spans="1:3" x14ac:dyDescent="0.15">
      <c r="A1861" s="1">
        <v>40667</v>
      </c>
      <c r="B1861" t="s">
        <v>365</v>
      </c>
      <c r="C1861" s="2" t="str">
        <f>HYPERLINK("http://snap.windin.com/ns/bulletin.php?id=19147684&amp;type=1", "好想你:首次公开发行股票招股意向书")</f>
        <v>好想你:首次公开发行股票招股意向书</v>
      </c>
    </row>
    <row r="1862" spans="1:3" x14ac:dyDescent="0.15">
      <c r="A1862" s="1">
        <v>40667</v>
      </c>
      <c r="B1862" t="s">
        <v>365</v>
      </c>
      <c r="C1862" s="2" t="str">
        <f>HYPERLINK("http://snap.windin.com/ns/bulletin.php?id=18539682&amp;type=1", "好想你:首次公开发行股票招股意向书")</f>
        <v>好想你:首次公开发行股票招股意向书</v>
      </c>
    </row>
    <row r="1863" spans="1:3" x14ac:dyDescent="0.15">
      <c r="A1863" s="1">
        <v>40667</v>
      </c>
      <c r="B1863" t="s">
        <v>364</v>
      </c>
      <c r="C1863" s="2" t="str">
        <f>HYPERLINK("http://snap.windin.com/ns/bulletin.php?id=2075745&amp;type=1", "东材科技:首次公开发行股票招股意向书")</f>
        <v>东材科技:首次公开发行股票招股意向书</v>
      </c>
    </row>
    <row r="1864" spans="1:3" x14ac:dyDescent="0.15">
      <c r="A1864" s="1">
        <v>40667</v>
      </c>
      <c r="B1864" t="s">
        <v>379</v>
      </c>
      <c r="C1864" s="2" t="str">
        <f>HYPERLINK("http://snap.windin.com/ns/bulletin.php?id=2007314&amp;type=1", "佳讯飞鸿:首次公开发行股票并在创业板上市公告书提示性公告")</f>
        <v>佳讯飞鸿:首次公开发行股票并在创业板上市公告书提示性公告</v>
      </c>
    </row>
    <row r="1865" spans="1:3" x14ac:dyDescent="0.15">
      <c r="A1865" s="1">
        <v>40667</v>
      </c>
      <c r="B1865" t="s">
        <v>365</v>
      </c>
      <c r="C1865" s="2" t="str">
        <f>HYPERLINK("http://snap.windin.com/ns/bulletin.php?id=1966384&amp;type=1", "好想你:首次公开发行股票招股意向书")</f>
        <v>好想你:首次公开发行股票招股意向书</v>
      </c>
    </row>
    <row r="1866" spans="1:3" x14ac:dyDescent="0.15">
      <c r="A1866" s="1">
        <v>40667</v>
      </c>
      <c r="B1866" t="s">
        <v>364</v>
      </c>
      <c r="C1866" s="2" t="str">
        <f>HYPERLINK("http://snap.windin.com/ns/bulletin.php?id=1928308&amp;type=1", "东材科技:首次公开发行股票招股意向书摘要")</f>
        <v>东材科技:首次公开发行股票招股意向书摘要</v>
      </c>
    </row>
    <row r="1867" spans="1:3" x14ac:dyDescent="0.15">
      <c r="A1867" s="1">
        <v>40667</v>
      </c>
      <c r="B1867" t="s">
        <v>380</v>
      </c>
      <c r="C1867" s="2" t="str">
        <f>HYPERLINK("http://snap.windin.com/ns/bulletin.php?id=1702797&amp;type=1", "易华录:首次公开发行股票并在创业板上市之上市公告书")</f>
        <v>易华录:首次公开发行股票并在创业板上市之上市公告书</v>
      </c>
    </row>
    <row r="1868" spans="1:3" x14ac:dyDescent="0.15">
      <c r="A1868" s="1">
        <v>40667</v>
      </c>
      <c r="B1868" t="s">
        <v>364</v>
      </c>
      <c r="C1868" s="2" t="str">
        <f>HYPERLINK("http://snap.windin.com/ns/bulletin.php?id=1458223&amp;type=1", "东材科技:首次公开发行股票招股意向书附录")</f>
        <v>东材科技:首次公开发行股票招股意向书附录</v>
      </c>
    </row>
    <row r="1869" spans="1:3" x14ac:dyDescent="0.15">
      <c r="A1869" s="1">
        <v>40667</v>
      </c>
      <c r="B1869" t="s">
        <v>381</v>
      </c>
      <c r="C1869" s="2" t="str">
        <f>HYPERLINK("http://snap.windin.com/ns/bulletin.php?id=1452790&amp;type=1", "亿通科技:首次公开发行股票并在创业板上市上市公告书提示性公告")</f>
        <v>亿通科技:首次公开发行股票并在创业板上市上市公告书提示性公告</v>
      </c>
    </row>
    <row r="1870" spans="1:3" x14ac:dyDescent="0.15">
      <c r="A1870" s="1">
        <v>40667</v>
      </c>
      <c r="B1870" t="s">
        <v>381</v>
      </c>
      <c r="C1870" s="2" t="str">
        <f>HYPERLINK("http://snap.windin.com/ns/bulletin.php?id=1055757&amp;type=1", "亿通科技:首次公开发行股票并在创业板上市公告书")</f>
        <v>亿通科技:首次公开发行股票并在创业板上市公告书</v>
      </c>
    </row>
    <row r="1871" spans="1:3" x14ac:dyDescent="0.15">
      <c r="A1871" s="1">
        <v>40667</v>
      </c>
      <c r="B1871" t="s">
        <v>366</v>
      </c>
      <c r="C1871" s="2" t="str">
        <f>HYPERLINK("http://snap.windin.com/ns/bulletin.php?id=852180&amp;type=1", "万昌科技:首次公开发行股票招股说明书")</f>
        <v>万昌科技:首次公开发行股票招股说明书</v>
      </c>
    </row>
    <row r="1872" spans="1:3" x14ac:dyDescent="0.15">
      <c r="A1872" s="1">
        <v>40667</v>
      </c>
      <c r="B1872" t="s">
        <v>365</v>
      </c>
      <c r="C1872" s="2" t="str">
        <f>HYPERLINK("http://snap.windin.com/ns/bulletin.php?id=786860&amp;type=1", "好想你:首次公开发行股票招股意向书摘要")</f>
        <v>好想你:首次公开发行股票招股意向书摘要</v>
      </c>
    </row>
    <row r="1873" spans="1:3" x14ac:dyDescent="0.15">
      <c r="A1873" s="1">
        <v>40667</v>
      </c>
      <c r="B1873" t="s">
        <v>366</v>
      </c>
      <c r="C1873" s="2" t="str">
        <f>HYPERLINK("http://snap.windin.com/ns/bulletin.php?id=479183&amp;type=1", "万昌科技:首次公开发行股票招股说明书摘要")</f>
        <v>万昌科技:首次公开发行股票招股说明书摘要</v>
      </c>
    </row>
    <row r="1874" spans="1:3" x14ac:dyDescent="0.15">
      <c r="A1874" s="1">
        <v>40667</v>
      </c>
      <c r="B1874" t="s">
        <v>379</v>
      </c>
      <c r="C1874" s="2" t="str">
        <f>HYPERLINK("http://snap.windin.com/ns/bulletin.php?id=202024&amp;type=1", "佳讯飞鸿:首次公开发行股票并在创业板上市上市公告书")</f>
        <v>佳讯飞鸿:首次公开发行股票并在创业板上市上市公告书</v>
      </c>
    </row>
    <row r="1875" spans="1:3" x14ac:dyDescent="0.15">
      <c r="A1875" s="1">
        <v>40667</v>
      </c>
      <c r="B1875" t="s">
        <v>380</v>
      </c>
      <c r="C1875" s="2" t="str">
        <f>HYPERLINK("http://snap.windin.com/ns/bulletin.php?id=172818&amp;type=1", "易华录:首次公开发行股票并在创业板上市上市公告书提示性公告")</f>
        <v>易华录:首次公开发行股票并在创业板上市上市公告书提示性公告</v>
      </c>
    </row>
    <row r="1876" spans="1:3" x14ac:dyDescent="0.15">
      <c r="A1876" s="1">
        <v>40662</v>
      </c>
      <c r="B1876" t="s">
        <v>367</v>
      </c>
      <c r="C1876" s="2" t="str">
        <f>HYPERLINK("http://snap.windin.com/ns/bulletin.php?id=18482076&amp;type=1", "安利股份:首次公开发行股票并在创业板上市招股意向书")</f>
        <v>安利股份:首次公开发行股票并在创业板上市招股意向书</v>
      </c>
    </row>
    <row r="1877" spans="1:3" x14ac:dyDescent="0.15">
      <c r="A1877" s="1">
        <v>40662</v>
      </c>
      <c r="B1877" t="s">
        <v>371</v>
      </c>
      <c r="C1877" s="2" t="str">
        <f>HYPERLINK("http://snap.windin.com/ns/bulletin.php?id=2030801&amp;type=1", "电科院:首次公开发行股票并在创业板上市招股说明书")</f>
        <v>电科院:首次公开发行股票并在创业板上市招股说明书</v>
      </c>
    </row>
    <row r="3003" spans="1:1" x14ac:dyDescent="0.15">
      <c r="A3003" t="s">
        <v>3</v>
      </c>
    </row>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公司公告</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Prosnav-dev</dc:creator>
  <cp:lastModifiedBy>Prosnav-dev</cp:lastModifiedBy>
  <dcterms:created xsi:type="dcterms:W3CDTF">2014-08-26T09:34:36Z</dcterms:created>
  <dcterms:modified xsi:type="dcterms:W3CDTF">2014-08-26T09:35:18Z</dcterms:modified>
</cp:coreProperties>
</file>