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work\projects\gw_ecosystem_services_Fulda_plain\"/>
    </mc:Choice>
  </mc:AlternateContent>
  <xr:revisionPtr revIDLastSave="0" documentId="13_ncr:1_{2C9AF059-A95F-4335-8CA0-F30C3601BCD1}" xr6:coauthVersionLast="47" xr6:coauthVersionMax="47" xr10:uidLastSave="{00000000-0000-0000-0000-000000000000}"/>
  <bookViews>
    <workbookView xWindow="760" yWindow="760" windowWidth="11510" windowHeight="12910" xr2:uid="{8E85E7A9-C450-5844-BD64-77EB6910F2CD}"/>
  </bookViews>
  <sheets>
    <sheet name="Tabelle1" sheetId="1" r:id="rId1"/>
    <sheet name="calculating_COD" sheetId="6" r:id="rId2"/>
  </sheets>
  <definedNames>
    <definedName name="_xlnm._FilterDatabase" localSheetId="0" hidden="1">Tabelle1!$A$3:$AL$3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4" i="1" l="1"/>
  <c r="AG9" i="1"/>
  <c r="AG8" i="1"/>
  <c r="AG7" i="1"/>
  <c r="AG6" i="1"/>
  <c r="AG5" i="1"/>
  <c r="AG4" i="1"/>
  <c r="L99" i="6"/>
  <c r="D127" i="6"/>
  <c r="D118" i="6"/>
  <c r="D121" i="6" s="1"/>
  <c r="D124" i="6" s="1"/>
  <c r="AI9" i="1"/>
  <c r="AI8" i="1"/>
  <c r="AI7" i="1"/>
  <c r="AI6" i="1"/>
  <c r="AI5" i="1"/>
  <c r="X9" i="1"/>
  <c r="X8" i="1"/>
  <c r="X7" i="1"/>
  <c r="X6" i="1"/>
  <c r="X5" i="1"/>
  <c r="X4" i="1"/>
  <c r="H102" i="6"/>
  <c r="D117" i="6"/>
  <c r="D116" i="6"/>
  <c r="K93" i="6"/>
  <c r="K91" i="6"/>
  <c r="K92" i="6" s="1"/>
  <c r="Z9" i="1"/>
  <c r="AA9" i="1" s="1"/>
  <c r="Z4" i="1"/>
  <c r="D79" i="6"/>
  <c r="D81" i="6" s="1"/>
  <c r="D83" i="6" s="1"/>
  <c r="D85" i="6" s="1"/>
  <c r="D87" i="6" s="1"/>
  <c r="D78" i="6"/>
  <c r="D80" i="6" s="1"/>
  <c r="D82" i="6" s="1"/>
  <c r="D84" i="6" s="1"/>
  <c r="D86" i="6" s="1"/>
  <c r="W9" i="1"/>
  <c r="V9" i="1"/>
  <c r="Q9" i="1"/>
  <c r="G9" i="1"/>
  <c r="F9" i="1"/>
  <c r="Z8" i="1"/>
  <c r="AA8" i="1" s="1"/>
  <c r="W8" i="1"/>
  <c r="V8" i="1"/>
  <c r="Q8" i="1"/>
  <c r="G8" i="1"/>
  <c r="F8" i="1"/>
  <c r="Z7" i="1"/>
  <c r="AA7" i="1" s="1"/>
  <c r="W7" i="1"/>
  <c r="V7" i="1"/>
  <c r="Q7" i="1"/>
  <c r="G7" i="1"/>
  <c r="F7" i="1"/>
  <c r="Z6" i="1"/>
  <c r="AA6" i="1" s="1"/>
  <c r="W6" i="1"/>
  <c r="V6" i="1"/>
  <c r="Q6" i="1"/>
  <c r="G6" i="1"/>
  <c r="F6" i="1"/>
  <c r="Z5" i="1"/>
  <c r="AA5" i="1" s="1"/>
  <c r="W5" i="1"/>
  <c r="V5" i="1"/>
  <c r="Q5" i="1"/>
  <c r="G5" i="1"/>
  <c r="F5" i="1"/>
  <c r="AA4" i="1"/>
  <c r="W4" i="1"/>
  <c r="V4" i="1"/>
  <c r="Q4" i="1"/>
  <c r="G4" i="1"/>
  <c r="F4" i="1"/>
  <c r="D67" i="6"/>
  <c r="D69" i="6" s="1"/>
  <c r="D71" i="6" s="1"/>
  <c r="D66" i="6"/>
  <c r="D68" i="6" s="1"/>
  <c r="D70" i="6" s="1"/>
  <c r="D65" i="6"/>
  <c r="D64" i="6"/>
  <c r="L66" i="6"/>
  <c r="M60" i="6"/>
  <c r="K64" i="6"/>
  <c r="I4" i="1" l="1"/>
  <c r="J4" i="1" s="1"/>
  <c r="I8" i="1"/>
  <c r="J8" i="1" s="1"/>
  <c r="M8" i="1" s="1"/>
  <c r="I5" i="1"/>
  <c r="J5" i="1" s="1"/>
  <c r="M5" i="1" s="1"/>
  <c r="I7" i="1"/>
  <c r="J7" i="1" s="1"/>
  <c r="K7" i="1" s="1"/>
  <c r="I9" i="1"/>
  <c r="J9" i="1" s="1"/>
  <c r="M9" i="1" s="1"/>
  <c r="I6" i="1"/>
  <c r="J6" i="1" s="1"/>
  <c r="M6" i="1" s="1"/>
  <c r="K94" i="6"/>
  <c r="D119" i="6"/>
  <c r="D122" i="6" s="1"/>
  <c r="D125" i="6" s="1"/>
  <c r="L67" i="6"/>
  <c r="D120" i="6"/>
  <c r="D123" i="6" s="1"/>
  <c r="D126" i="6" s="1"/>
  <c r="K4" i="1" l="1"/>
  <c r="M4" i="1"/>
  <c r="K5" i="1"/>
  <c r="K8" i="1"/>
  <c r="K6" i="1"/>
  <c r="M7" i="1"/>
  <c r="K9" i="1"/>
  <c r="D89" i="6"/>
  <c r="D91" i="6" s="1"/>
  <c r="D92" i="6" s="1"/>
  <c r="L56" i="6"/>
  <c r="L54" i="6"/>
  <c r="M42" i="6" l="1"/>
  <c r="L36" i="6"/>
  <c r="L51" i="6"/>
  <c r="M36" i="6"/>
  <c r="J35" i="6"/>
  <c r="K35" i="6"/>
  <c r="P38" i="6"/>
  <c r="T34" i="6"/>
  <c r="T26" i="6"/>
  <c r="T18" i="6"/>
  <c r="L21" i="6"/>
  <c r="G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Susanne Schmidt</author>
    <author>tc={BC23984A-4BE5-DB42-8CB2-421621628373}</author>
    <author>tc={A973AB73-A4B2-DB42-8CE2-2E9D2BA6D327}</author>
    <author>tc={B2EEDDFE-EFB6-B841-B3B1-49218DCB8340}</author>
    <author>tc={D83D8722-287D-8543-91DC-DFD968583D4B}</author>
    <author>tc={4DF7EAEC-CD2F-EF4A-9BF0-F3F1E42E4442}</author>
    <author>tc={8B1BECD1-664B-894E-902F-58308D659DA9}</author>
    <author>tc={944B0A6E-7F35-8040-8354-541096ED2DBE}</author>
    <author>tc={009AF6C5-B9AC-7541-9E56-015D22C54F6F}</author>
    <author>tc={0F2B29B9-EE72-C54A-8714-498DD1A3C8E0}</author>
    <author>tc={3C0608B8-171F-064A-822A-A3CC6DDC9FC4}</author>
    <author>tc={4659E4E8-C0C9-CB4D-BEA9-CCB12CD16D5B}</author>
    <author>tc={B40E02FA-A395-684A-865E-E43D81BF9EF7}</author>
    <author>tc={8AB12162-2BF7-9849-9318-3D6AC8CBAB8F}</author>
    <author>tc={D578DC42-15AA-9242-8F7A-DCCCBD7DB327}</author>
    <author>tc={D9858DC7-D04C-4A4F-872C-0C59D675639A}</author>
    <author>tc={507182A8-A16E-3B46-A78B-C475F7E79FFC}</author>
    <author>tc={28910C3F-267C-EF48-8C2C-F6C895522D82}</author>
    <author>tc={E7A076DC-8E76-1148-951F-1F3AE0C081A3}</author>
    <author>tc={8ABD701E-78D0-4A47-8F33-59280C42BAAB}</author>
    <author>tc={C8D487C4-854D-254E-A24C-BB3F3463062E}</author>
    <author>tc={E68EDC32-0C11-F24F-BC92-6599E44DEE2B}</author>
    <author>tc={03DDDF21-1FDE-1A44-92CB-02C9D1E67681}</author>
    <author>tc={74D124C3-18A4-4549-83DD-7E733D9BD57D}</author>
    <author>tc={59162C1A-C9E9-6D46-9F9A-64B6BAFF2CAB}</author>
  </authors>
  <commentList>
    <comment ref="G3" authorId="0" shapeId="0" xr:uid="{1A930F59-A378-7844-9496-EBE49743B803}">
      <text>
        <r>
          <rPr>
            <b/>
            <sz val="10"/>
            <color rgb="FF000000"/>
            <rFont val="Tahoma"/>
            <family val="2"/>
          </rPr>
          <t>Susanne Schmidt:</t>
        </r>
        <r>
          <rPr>
            <sz val="10"/>
            <color rgb="FF000000"/>
            <rFont val="Tahoma"/>
            <family val="2"/>
          </rPr>
          <t xml:space="preserve">
</t>
        </r>
        <r>
          <rPr>
            <sz val="10"/>
            <color rgb="FF000000"/>
            <rFont val="Tahoma"/>
            <family val="2"/>
          </rPr>
          <t>used for clauclation of TOC_COD ...</t>
        </r>
      </text>
    </comment>
    <comment ref="J4" authorId="1" shapeId="0" xr:uid="{BC23984A-4BE5-DB42-8CB2-42162162837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7.5 g COD per g humic acid derived in SI, and on sheet calculating_COD in this file</t>
      </text>
    </comment>
    <comment ref="V4" authorId="0" shapeId="0" xr:uid="{AB0BD4DA-AAC9-EE43-9F42-A759E79D6735}">
      <text>
        <r>
          <rPr>
            <b/>
            <sz val="10"/>
            <color rgb="FF000000"/>
            <rFont val="Tahoma"/>
            <family val="2"/>
          </rPr>
          <t>Susanne Schmidt:</t>
        </r>
        <r>
          <rPr>
            <sz val="10"/>
            <color rgb="FF000000"/>
            <rFont val="Tahoma"/>
            <family val="2"/>
          </rPr>
          <t xml:space="preserve">
</t>
        </r>
        <r>
          <rPr>
            <sz val="10"/>
            <color rgb="FF000000"/>
            <rFont val="Calibri"/>
            <family val="2"/>
          </rPr>
          <t>multiply with COD Acetate , i.e. 1.07, divide by 1.88 as COD biomass, see SI</t>
        </r>
      </text>
    </comment>
    <comment ref="X4" authorId="2" shapeId="0" xr:uid="{A973AB73-A4B2-DB42-8CE2-2E9D2BA6D32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average of Di Lorenzo, Navel, Mermillod-Blondin</t>
      </text>
    </comment>
    <comment ref="AB4" authorId="3" shapeId="0" xr:uid="{B2EEDDFE-EFB6-B841-B3B1-49218DCB834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Foulquier 2010 Relating</t>
      </text>
    </comment>
    <comment ref="AG4" authorId="4" shapeId="0" xr:uid="{D83D8722-287D-8543-91DC-DFD968583D4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
Antwort:
    19.6.25 geändert, siehe SI</t>
      </text>
    </comment>
    <comment ref="J5" authorId="5" shapeId="0" xr:uid="{4DF7EAEC-CD2F-EF4A-9BF0-F3F1E42E444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7.5 g COD per g humic acid derived in SI, and on sheet calculating_COD in this file</t>
      </text>
    </comment>
    <comment ref="V5" authorId="0" shapeId="0" xr:uid="{5D4A6E3D-EE8D-D54E-B68E-579F07A96DC7}">
      <text>
        <r>
          <rPr>
            <b/>
            <sz val="10"/>
            <color rgb="FF000000"/>
            <rFont val="Tahoma"/>
            <family val="2"/>
          </rPr>
          <t>Susanne Schmidt:</t>
        </r>
        <r>
          <rPr>
            <sz val="10"/>
            <color rgb="FF000000"/>
            <rFont val="Tahoma"/>
            <family val="2"/>
          </rPr>
          <t xml:space="preserve">
</t>
        </r>
        <r>
          <rPr>
            <sz val="10"/>
            <color rgb="FF000000"/>
            <rFont val="Calibri"/>
            <family val="2"/>
          </rPr>
          <t xml:space="preserve">Multiplizieren mit COD Acetat g, also 1.07, dividieren durch 1.88 als COD Biomasse, seihe biochemsitry acetat.docx mit Crisitan
</t>
        </r>
      </text>
    </comment>
    <comment ref="X5" authorId="6" shapeId="0" xr:uid="{8B1BECD1-664B-894E-902F-58308D659DA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average of Di Lorenzo, Navel, Mermillod-Blondin</t>
      </text>
    </comment>
    <comment ref="AB5" authorId="7" shapeId="0" xr:uid="{944B0A6E-7F35-8040-8354-541096ED2DB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Foulquier 2010 Relating</t>
      </text>
    </comment>
    <comment ref="AG5" authorId="8" shapeId="0" xr:uid="{009AF6C5-B9AC-7541-9E56-015D22C54F6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t>
      </text>
    </comment>
    <comment ref="J6" authorId="9" shapeId="0" xr:uid="{0F2B29B9-EE72-C54A-8714-498DD1A3C8E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7.5 g COD per g humic acid derived in SI, and on sheet calculating_COD in this file</t>
      </text>
    </comment>
    <comment ref="V6" authorId="0" shapeId="0" xr:uid="{4D0A5035-8B79-724A-BB91-721E43D498F1}">
      <text>
        <r>
          <rPr>
            <b/>
            <sz val="10"/>
            <color rgb="FF000000"/>
            <rFont val="Tahoma"/>
            <family val="2"/>
          </rPr>
          <t>Susanne Schmidt:</t>
        </r>
        <r>
          <rPr>
            <sz val="10"/>
            <color rgb="FF000000"/>
            <rFont val="Tahoma"/>
            <family val="2"/>
          </rPr>
          <t xml:space="preserve">
</t>
        </r>
        <r>
          <rPr>
            <sz val="10"/>
            <color rgb="FF000000"/>
            <rFont val="Calibri"/>
            <family val="2"/>
          </rPr>
          <t xml:space="preserve">Multiplizieren mit COD Acetat g, also 1.07, dividieren durch 1.88 als COD Biomasse, seihe biochemsitry acetat.docx mit Crisitan
</t>
        </r>
      </text>
    </comment>
    <comment ref="X6" authorId="10" shapeId="0" xr:uid="{3C0608B8-171F-064A-822A-A3CC6DDC9FC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average of Di Lorenzo, Navel, Mermillod-Blondin</t>
      </text>
    </comment>
    <comment ref="AB6" authorId="11" shapeId="0" xr:uid="{4659E4E8-C0C9-CB4D-BEA9-CCB12CD16D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Foulquier 2010 Relating</t>
      </text>
    </comment>
    <comment ref="AG6" authorId="12" shapeId="0" xr:uid="{B40E02FA-A395-684A-865E-E43D81BF9EF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t>
      </text>
    </comment>
    <comment ref="J7" authorId="13" shapeId="0" xr:uid="{8AB12162-2BF7-9849-9318-3D6AC8CBAB8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7.5 g COD per g humic acid derived in SI, and on sheet calculating_COD in this file</t>
      </text>
    </comment>
    <comment ref="V7" authorId="0" shapeId="0" xr:uid="{DD360374-60A5-2640-9B10-44A556D83645}">
      <text>
        <r>
          <rPr>
            <b/>
            <sz val="10"/>
            <color rgb="FF000000"/>
            <rFont val="Tahoma"/>
            <family val="2"/>
          </rPr>
          <t>Susanne Schmidt:</t>
        </r>
        <r>
          <rPr>
            <sz val="10"/>
            <color rgb="FF000000"/>
            <rFont val="Tahoma"/>
            <family val="2"/>
          </rPr>
          <t xml:space="preserve">
</t>
        </r>
        <r>
          <rPr>
            <sz val="10"/>
            <color rgb="FF000000"/>
            <rFont val="Calibri"/>
            <family val="2"/>
          </rPr>
          <t xml:space="preserve">Multiplizieren mit COD Acetat g, also 1.07, dividieren durch 1.88 als COD Biomasse, seihe biochemsitry acetat.docx mit Crisitan
</t>
        </r>
      </text>
    </comment>
    <comment ref="X7" authorId="14" shapeId="0" xr:uid="{D578DC42-15AA-9242-8F7A-DCCCBD7DB32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average of Di Lorenzo, Navel, Mermillod-Blondin</t>
      </text>
    </comment>
    <comment ref="AB7" authorId="15" shapeId="0" xr:uid="{D9858DC7-D04C-4A4F-872C-0C59D675639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Foulquier 2010 Relating</t>
      </text>
    </comment>
    <comment ref="AG7" authorId="16" shapeId="0" xr:uid="{507182A8-A16E-3B46-A78B-C475F7E79FF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t>
      </text>
    </comment>
    <comment ref="J8" authorId="17" shapeId="0" xr:uid="{28910C3F-267C-EF48-8C2C-F6C895522D8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7.5 g COD per g humic acid derived in SI, and on sheet calculating_COD in this file</t>
      </text>
    </comment>
    <comment ref="V8" authorId="0" shapeId="0" xr:uid="{13B3DE81-C31E-BD43-B50B-1771E9709AE7}">
      <text>
        <r>
          <rPr>
            <b/>
            <sz val="10"/>
            <color rgb="FF000000"/>
            <rFont val="Tahoma"/>
            <family val="2"/>
          </rPr>
          <t>Susanne Schmidt:</t>
        </r>
        <r>
          <rPr>
            <sz val="10"/>
            <color rgb="FF000000"/>
            <rFont val="Tahoma"/>
            <family val="2"/>
          </rPr>
          <t xml:space="preserve">
</t>
        </r>
        <r>
          <rPr>
            <sz val="10"/>
            <color rgb="FF000000"/>
            <rFont val="Calibri"/>
            <family val="2"/>
          </rPr>
          <t xml:space="preserve">Multiplizieren mit COD Acetat g, also 1.07, dividieren durch 1.88 als COD Biomasse, seihe biochemsitry acetat.docx mit Crisitan
</t>
        </r>
      </text>
    </comment>
    <comment ref="X8" authorId="18" shapeId="0" xr:uid="{E7A076DC-8E76-1148-951F-1F3AE0C081A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average of Di Lorenzo, Navel, Mermillod-Blondin</t>
      </text>
    </comment>
    <comment ref="AB8" authorId="19" shapeId="0" xr:uid="{8ABD701E-78D0-4A47-8F33-59280C42BAA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Foulquier 2010 Relating</t>
      </text>
    </comment>
    <comment ref="AG8" authorId="20" shapeId="0" xr:uid="{C8D487C4-854D-254E-A24C-BB3F3463062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t>
      </text>
    </comment>
    <comment ref="J9" authorId="21" shapeId="0" xr:uid="{E68EDC32-0C11-F24F-BC92-6599E44DEE2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7.5 g COD per g humic acid derived in SI, and on sheet calculating_COD in this file</t>
      </text>
    </comment>
    <comment ref="V9" authorId="0" shapeId="0" xr:uid="{7487A520-4C1D-1B4C-B85A-1564A0ED432B}">
      <text>
        <r>
          <rPr>
            <b/>
            <sz val="10"/>
            <color rgb="FF000000"/>
            <rFont val="Tahoma"/>
            <family val="2"/>
          </rPr>
          <t>Susanne Schmidt:</t>
        </r>
        <r>
          <rPr>
            <sz val="10"/>
            <color rgb="FF000000"/>
            <rFont val="Tahoma"/>
            <family val="2"/>
          </rPr>
          <t xml:space="preserve">
</t>
        </r>
        <r>
          <rPr>
            <sz val="10"/>
            <color rgb="FF000000"/>
            <rFont val="Calibri"/>
            <family val="2"/>
          </rPr>
          <t xml:space="preserve">Multiplizieren mit COD Acetat g, also 1.07, dividieren durch 1.88 als COD Biomasse, seihe biochemsitry acetat.docx mit Crisitan
</t>
        </r>
      </text>
    </comment>
    <comment ref="X9" authorId="22" shapeId="0" xr:uid="{03DDDF21-1FDE-1A44-92CB-02C9D1E6768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average of Di Lorenzo, Navel, Mermillod-Blondin</t>
      </text>
    </comment>
    <comment ref="AB9" authorId="23" shapeId="0" xr:uid="{74D124C3-18A4-4549-83DD-7E733D9BD57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Foulquier 2010 Relating</t>
      </text>
    </comment>
    <comment ref="AG9" authorId="24" shapeId="0" xr:uid="{59162C1A-C9E9-6D46-9F9A-64B6BAFF2CA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t>
      </text>
    </comment>
  </commentList>
</comments>
</file>

<file path=xl/sharedStrings.xml><?xml version="1.0" encoding="utf-8"?>
<sst xmlns="http://schemas.openxmlformats.org/spreadsheetml/2006/main" count="246" uniqueCount="191">
  <si>
    <t>variable_parameter</t>
  </si>
  <si>
    <t>unit</t>
  </si>
  <si>
    <t>notes</t>
  </si>
  <si>
    <t>day</t>
  </si>
  <si>
    <t>dt</t>
  </si>
  <si>
    <t>depth of gw aquifer, in order to derive volume to which to relate input of moles</t>
  </si>
  <si>
    <t>aquifer_depth</t>
  </si>
  <si>
    <t>run</t>
  </si>
  <si>
    <t>m</t>
  </si>
  <si>
    <t>n NPZD (see separate file same folder) no import</t>
  </si>
  <si>
    <t>import_MO_het</t>
  </si>
  <si>
    <t>choose 1 for with fauna, or 0 for without fauna - for comparing scenarios</t>
  </si>
  <si>
    <t>scenario_with_1_or_without_0_fauna</t>
  </si>
  <si>
    <t>scenario_with_1_or_without_0_MO</t>
  </si>
  <si>
    <t>Thurman 1985 Fig. 4.1</t>
  </si>
  <si>
    <t>acetic_acids_fraction</t>
  </si>
  <si>
    <t>#assuming acetate makes up 1 % of carboxylic acids</t>
  </si>
  <si>
    <t>mortalityRate</t>
  </si>
  <si>
    <t>import_fauna</t>
  </si>
  <si>
    <t>yield_ac</t>
  </si>
  <si>
    <t>k_temp</t>
  </si>
  <si>
    <t>temperature at which lab measurements</t>
  </si>
  <si>
    <t>deg C</t>
  </si>
  <si>
    <t>K_ac</t>
  </si>
  <si>
    <t>K_MO_at_temp</t>
  </si>
  <si>
    <t xml:space="preserve">molCOD/L </t>
  </si>
  <si>
    <t>rMO_COD_uptake_h_at_lab_temperature</t>
  </si>
  <si>
    <t>per h # #micro ac</t>
  </si>
  <si>
    <t>rMO_COD_uptake_per_day_at_lab_temperature</t>
  </si>
  <si>
    <t>rFauna_MO_uptake_per_day_at_TEMP</t>
  </si>
  <si>
    <t>k1</t>
  </si>
  <si>
    <t>per day</t>
  </si>
  <si>
    <t>excretionRate</t>
  </si>
  <si>
    <t>/day</t>
  </si>
  <si>
    <t>TOC_mol_m2_yr_precipitation</t>
  </si>
  <si>
    <t>mol / m2 / year</t>
  </si>
  <si>
    <t># TOC 208 mmol / m^2 / yr in Plesne, 199 mmol / m^2 / yr in Certovo  mean(c(208, 199)) = 203.5; J. Kopaccek et al. 2008 Kopacek, J., Turek, J., Hejzlar, J., Santruckova, H., 2009. Canopy leaching of nutrients and metals in a mountain spruce forest. Atmospheric Environment 43, 5443–5453. https://doi.org/10.1016/j.atmosenv.2009.07.031</t>
  </si>
  <si>
    <t>factor_how_many_times_Detritus_compared_to_TOC</t>
  </si>
  <si>
    <t>time step</t>
  </si>
  <si>
    <t>molCOD/L at lab temperature</t>
  </si>
  <si>
    <t>yield_MO</t>
  </si>
  <si>
    <t>TOC_COD_mol_m2_yr_precipitation</t>
  </si>
  <si>
    <t>#I need Plesne preciptaiotn here, to deal with Kopacek TOC in precipitation, and that is ca. 1000 mm #mean of 1402, 1437 Kopacek et al. 2009 Canopy leaching</t>
  </si>
  <si>
    <t>carboxylic_acids_fraction</t>
  </si>
  <si>
    <t>https://en.wikipedia.org/wiki/Chemical_oxygen_demand</t>
  </si>
  <si>
    <t>formula</t>
  </si>
  <si>
    <t>a</t>
  </si>
  <si>
    <t>b</t>
  </si>
  <si>
    <t>c</t>
  </si>
  <si>
    <t>n</t>
  </si>
  <si>
    <t>C6H12O6N1</t>
  </si>
  <si>
    <t>g/mol</t>
  </si>
  <si>
    <t>COD [mol O2 per mol substrate]</t>
  </si>
  <si>
    <t>reculculation from 30 degree from Gerritse to 10 degree by factor 0.392 as in Schmidt 2018 - this is a rough estimate and therefore is not real-temperature-adjusted at this stage</t>
  </si>
  <si>
    <t xml:space="preserve"> this is a rough estimate and therefore is not real-temperature-adjusted at this stage</t>
  </si>
  <si>
    <t>average_precipitation_mm_yr</t>
  </si>
  <si>
    <t xml:space="preserve">mm /  year </t>
  </si>
  <si>
    <t>TOC_COD_mol_m3_precipitation</t>
  </si>
  <si>
    <t xml:space="preserve">#mol per  m^3 </t>
  </si>
  <si>
    <t>Detritus_COD_mol_m3_precipitation</t>
  </si>
  <si>
    <t>rMO_acetate_uptake_h_at_lab_temperature</t>
  </si>
  <si>
    <t>through soil passage, the TOC from precipitation is degraded, but detritus is mobilised ; assuming "factor_how_many_times_Detritus_compared_to_TOC" times as much detritus mobilized as TOC from preciptation</t>
  </si>
  <si>
    <t>temperature_scenario</t>
  </si>
  <si>
    <t>0 = actually measured data; any other number: increase of temperature by this value</t>
  </si>
  <si>
    <t>HMML</t>
  </si>
  <si>
    <t>factor_CC_MO</t>
  </si>
  <si>
    <t>factor_CC_fauna</t>
  </si>
  <si>
    <t>growth_model_MO</t>
  </si>
  <si>
    <t>growth_model_fauna</t>
  </si>
  <si>
    <t># since it is not easy to extrapolate the parameters from LT50 curves, and since they are often not provided in the literature, very roughly let's assume linear response.</t>
  </si>
  <si>
    <t># Thus: 100% at 12 degrees, between 50 and 100% at 16 degrees, between 0 and50% at 20 degrees (Brielmann 2011). Assuming that half of the fauna population behavoes like amphipods and half like asellids, 100% survival at 12 degrees, (75% survival at 16 degrees,) 25 % at 20 degrees. Taking the endpoint 20 degrees, 0.25 of the population survives aafter an increase by 8 degrees. This means that 0.75 have died. Thus , for each degree of increase, 0.75/8 = 0.09375 , roughly 1 % of the individuals die.    above or below 10 degree</t>
  </si>
  <si>
    <t>molar mass g / mol</t>
  </si>
  <si>
    <t>Rate constant for bacterial uptake and oxidation of acetate Gerritse et al. (1992) ****, ASSUMING COD CAN BE DEGRADED LIKE ACETATE, which is an error-prone assumption</t>
  </si>
  <si>
    <t>microbe_loss_factor_when_no_fauna</t>
  </si>
  <si>
    <t>/(molCOD/L)/ day</t>
  </si>
  <si>
    <t>humic acid</t>
  </si>
  <si>
    <t>C9H9NO6, and an average mass of 227.172 g / mol (ID: 32820151; https://www.chemspider.com/Chemical-Structure.32820151.html</t>
  </si>
  <si>
    <t>i.e. 7.5 mole O2 for each mole organics</t>
  </si>
  <si>
    <t>acetate</t>
  </si>
  <si>
    <t>i.e. 2.25 mole O2 for each mole organics</t>
  </si>
  <si>
    <t xml:space="preserve"> C2H4O2N0</t>
  </si>
  <si>
    <r>
      <t>It was assumed that biomass can be summarized with an average composition oC</t>
    </r>
    <r>
      <rPr>
        <vertAlign val="subscript"/>
        <sz val="12"/>
        <color theme="1"/>
        <rFont val="Calibri"/>
        <family val="2"/>
        <scheme val="minor"/>
      </rPr>
      <t>1</t>
    </r>
    <r>
      <rPr>
        <sz val="12"/>
        <color theme="1"/>
        <rFont val="Calibri"/>
        <family val="2"/>
        <scheme val="minor"/>
      </rPr>
      <t xml:space="preserve"> H</t>
    </r>
    <r>
      <rPr>
        <vertAlign val="subscript"/>
        <sz val="12"/>
        <color theme="1"/>
        <rFont val="Calibri"/>
        <family val="2"/>
        <scheme val="minor"/>
      </rPr>
      <t>1.8</t>
    </r>
    <r>
      <rPr>
        <sz val="12"/>
        <color theme="1"/>
        <rFont val="Calibri"/>
        <family val="2"/>
        <scheme val="minor"/>
      </rPr>
      <t xml:space="preserve"> O</t>
    </r>
    <r>
      <rPr>
        <vertAlign val="subscript"/>
        <sz val="12"/>
        <color theme="1"/>
        <rFont val="Calibri"/>
        <family val="2"/>
        <scheme val="minor"/>
      </rPr>
      <t>0.5</t>
    </r>
    <r>
      <rPr>
        <sz val="12"/>
        <color theme="1"/>
        <rFont val="Calibri"/>
        <family val="2"/>
        <scheme val="minor"/>
      </rPr>
      <t xml:space="preserve"> N</t>
    </r>
    <r>
      <rPr>
        <vertAlign val="subscript"/>
        <sz val="12"/>
        <color theme="1"/>
        <rFont val="Calibri"/>
        <family val="2"/>
        <scheme val="minor"/>
      </rPr>
      <t>0.2</t>
    </r>
    <r>
      <rPr>
        <sz val="12"/>
        <color theme="1"/>
        <rFont val="Calibri"/>
        <family val="2"/>
        <scheme val="minor"/>
      </rPr>
      <t xml:space="preserve"> (Heijnen, 2006)</t>
    </r>
    <r>
      <rPr>
        <sz val="8"/>
        <color theme="1"/>
        <rFont val="Calibri"/>
        <family val="2"/>
        <scheme val="minor"/>
      </rPr>
      <t> </t>
    </r>
    <r>
      <rPr>
        <sz val="12"/>
        <color theme="1"/>
        <rFont val="Calibri"/>
        <family val="2"/>
        <scheme val="minor"/>
      </rPr>
      <t>. Thus, the stoichiometry for the complete oxidation of biomass was derived as C</t>
    </r>
    <r>
      <rPr>
        <vertAlign val="subscript"/>
        <sz val="12"/>
        <color theme="1"/>
        <rFont val="Calibri"/>
        <family val="2"/>
        <scheme val="minor"/>
      </rPr>
      <t>1</t>
    </r>
    <r>
      <rPr>
        <sz val="12"/>
        <color theme="1"/>
        <rFont val="Calibri"/>
        <family val="2"/>
        <scheme val="minor"/>
      </rPr>
      <t xml:space="preserve"> H</t>
    </r>
    <r>
      <rPr>
        <vertAlign val="subscript"/>
        <sz val="12"/>
        <color theme="1"/>
        <rFont val="Calibri"/>
        <family val="2"/>
        <scheme val="minor"/>
      </rPr>
      <t>1.8</t>
    </r>
    <r>
      <rPr>
        <sz val="12"/>
        <color theme="1"/>
        <rFont val="Calibri"/>
        <family val="2"/>
        <scheme val="minor"/>
      </rPr>
      <t xml:space="preserve"> O</t>
    </r>
    <r>
      <rPr>
        <vertAlign val="subscript"/>
        <sz val="12"/>
        <color theme="1"/>
        <rFont val="Calibri"/>
        <family val="2"/>
        <scheme val="minor"/>
      </rPr>
      <t>0.5</t>
    </r>
    <r>
      <rPr>
        <sz val="12"/>
        <color theme="1"/>
        <rFont val="Calibri"/>
        <family val="2"/>
        <scheme val="minor"/>
      </rPr>
      <t xml:space="preserve"> N</t>
    </r>
    <r>
      <rPr>
        <vertAlign val="subscript"/>
        <sz val="12"/>
        <color theme="1"/>
        <rFont val="Calibri"/>
        <family val="2"/>
        <scheme val="minor"/>
      </rPr>
      <t>0.2</t>
    </r>
    <r>
      <rPr>
        <sz val="12"/>
        <color theme="1"/>
        <rFont val="Calibri"/>
        <family val="2"/>
        <scheme val="minor"/>
      </rPr>
      <t xml:space="preserve"> + 1.45 O</t>
    </r>
    <r>
      <rPr>
        <vertAlign val="subscript"/>
        <sz val="12"/>
        <color theme="1"/>
        <rFont val="Calibri"/>
        <family val="2"/>
        <scheme val="minor"/>
      </rPr>
      <t>2</t>
    </r>
    <r>
      <rPr>
        <sz val="12"/>
        <color theme="1"/>
        <rFont val="Calibri"/>
        <family val="2"/>
        <scheme val="minor"/>
      </rPr>
      <t xml:space="preserve"> →  CO</t>
    </r>
    <r>
      <rPr>
        <vertAlign val="subscript"/>
        <sz val="12"/>
        <color theme="1"/>
        <rFont val="Calibri"/>
        <family val="2"/>
        <scheme val="minor"/>
      </rPr>
      <t>2</t>
    </r>
    <r>
      <rPr>
        <sz val="12"/>
        <color theme="1"/>
        <rFont val="Calibri"/>
        <family val="2"/>
        <scheme val="minor"/>
      </rPr>
      <t xml:space="preserve"> + 0.8 H</t>
    </r>
    <r>
      <rPr>
        <vertAlign val="subscript"/>
        <sz val="12"/>
        <color theme="1"/>
        <rFont val="Calibri"/>
        <family val="2"/>
        <scheme val="minor"/>
      </rPr>
      <t>2</t>
    </r>
    <r>
      <rPr>
        <sz val="12"/>
        <color theme="1"/>
        <rFont val="Calibri"/>
        <family val="2"/>
        <scheme val="minor"/>
      </rPr>
      <t>O + 0.2 HNO</t>
    </r>
    <r>
      <rPr>
        <vertAlign val="subscript"/>
        <sz val="12"/>
        <color theme="1"/>
        <rFont val="Calibri"/>
        <family val="2"/>
        <scheme val="minor"/>
      </rPr>
      <t>3</t>
    </r>
    <r>
      <rPr>
        <sz val="12"/>
        <color theme="1"/>
        <rFont val="Calibri"/>
        <family val="2"/>
        <scheme val="minor"/>
      </rPr>
      <t>. This means that 1.45 moles of O2 are needed for the oxidation of biomass, thus 1.45 g COD / g biomass</t>
    </r>
  </si>
  <si>
    <t xml:space="preserve">C1 H1.8 O0.5 N0.2 </t>
  </si>
  <si>
    <t>C9H9O6N1 + ((36+9-12-3)/4)O2 --&gt; 9CO2 + 3H2O + 1NH3</t>
  </si>
  <si>
    <t>C9H9O6N1 + 7.5 O2 --&gt; 9CO2 + 3H2O + 1NH3</t>
  </si>
  <si>
    <t>C9H9O6N1 + (9+9/4-12/4-3/4*1)O2 --&gt; 9CO2 + (9/2 - 3/2*1)H2O + 1NH3</t>
  </si>
  <si>
    <t>C2H4O2N0 + (2+4/4-3/4)O2 --&gt; 9CO2 + (4/2 - 3/2*1)H2O + 1NH3</t>
  </si>
  <si>
    <t>O</t>
  </si>
  <si>
    <t>aus Buch angeblich, bzw. von Cristian</t>
  </si>
  <si>
    <t>C1 H1.8 O0.5 N0.2  + 1.05O2 --&gt; 1CO2 + .6H2O + .2NH3</t>
  </si>
  <si>
    <t>stattdessen:</t>
  </si>
  <si>
    <t>die Bilanz hat  gestimmt. Wieso kriege ich das mit der Formal nicht raus?</t>
  </si>
  <si>
    <t>C1 H1.8 O0.5 N0.2  + (1+1.8/4 -  .5/2 -3/4*.2)O2 --&gt; 1CO2 + (1.8/2 - 3/2*.2)H2O + .2NH3</t>
  </si>
  <si>
    <r>
      <t>C1 H1.8 O0.5 N0.2  + 1.05O2 --&gt; 1CO2 + .6H2O + .2</t>
    </r>
    <r>
      <rPr>
        <sz val="12"/>
        <color rgb="FFFF0000"/>
        <rFont val="Calibri (Textkörper)"/>
      </rPr>
      <t>NH3</t>
    </r>
  </si>
  <si>
    <r>
      <t xml:space="preserve">C 1 H 1.8 O 0.5 N 0.2     + 1.45 O2  →  1 CO2 +   0.8 H2O +  0.2 </t>
    </r>
    <r>
      <rPr>
        <sz val="10"/>
        <color rgb="FFFF0000"/>
        <rFont val="Times New Roman"/>
        <family val="1"/>
      </rPr>
      <t>HNO3</t>
    </r>
  </si>
  <si>
    <t>note</t>
  </si>
  <si>
    <t xml:space="preserve"> flux mole / m^2/year divided by (precipitatoin in L/m^2/year divided by 1000)</t>
  </si>
  <si>
    <t xml:space="preserve">  mol /  L</t>
  </si>
  <si>
    <t>TOC_COD_mol_per_L_precipitation</t>
  </si>
  <si>
    <t>TOC_mol_per_m3_precipitation</t>
  </si>
  <si>
    <t>molar mass</t>
  </si>
  <si>
    <t>2 mol COD / mol acetate. 64 g COD / 60 g acetate, d.h. 1.067 g COD / g acetate, see also acetate biogeochemistry. Warte, her geht’s um die umrechnugn der wachstumsrate. Stop</t>
  </si>
  <si>
    <t xml:space="preserve"> p. 1468 in Gerritse: 4.3 microM;  i.e. mol / L!, und zwar mol acetate, i.e. multiply with 1.07 to get mol COD</t>
  </si>
  <si>
    <t xml:space="preserve"> mol COD drymass_MO  mol COD acetate^-1</t>
  </si>
  <si>
    <t>gdrymass_MO  gacetate? Gerritse et al. (1992): 10.6 g- mol-1, d.h. 10.6/24.6 mol biomass / mol acetate - aber ist das dry? " Expressed as grams of cell carbon produced per mole of carbon substrate consumed." wohl wet weight, aber cell carbon ?! Ignoriere ich erst mal. Aber in dry mass muss ich umrechnen. also *0.9. This was multuiiplied iwth 1.07 mol COD / mol biomass and divided by 2 mol COD / mol acetate</t>
  </si>
  <si>
    <t>Sackgasse : ? Assuming an average individual dry mass of 0.0005 mg (Di Lorenzo et al., 2025) and an average abundance of 1 such individual per L, i.e. 0.0000005 g / L, assuming 24.6 g / mol for biomass (see above, this can be expressed as 2.03E-10 mol / L faunal dry mass present in the aquifer.</t>
  </si>
  <si>
    <r>
      <t>Assuming an average individual dry mass of 0.0005 mg (Di Lorenzo et al., 2025) and an average abundance of 1 such individual per L, i.e. 0.0000005 g / L, assuming 24.6 g / mol for biomass (see above), this can be expressed as 2.03E-10 mol biomass / day being taken up, and with a 1.05 mol COD / mol biomass (see above), this means .</t>
    </r>
    <r>
      <rPr>
        <sz val="8"/>
        <color theme="1"/>
        <rFont val="Calibri"/>
        <family val="2"/>
        <scheme val="minor"/>
      </rPr>
      <t> </t>
    </r>
  </si>
  <si>
    <t xml:space="preserve">5.6.25 in code auskommentiert - aber dann gehen MO ein .. </t>
  </si>
  <si>
    <r>
      <rPr>
        <b/>
        <sz val="12"/>
        <color theme="1"/>
        <rFont val="Calibri"/>
        <family val="2"/>
        <scheme val="minor"/>
      </rPr>
      <t>biomass</t>
    </r>
    <r>
      <rPr>
        <sz val="12"/>
        <color theme="1"/>
        <rFont val="Calibri"/>
        <family val="2"/>
        <scheme val="minor"/>
      </rPr>
      <t xml:space="preserve"> C5 H7 O2 N (Grady, 2011)</t>
    </r>
  </si>
  <si>
    <r>
      <t>Thus, the stoichiometry for the complete oxidation of biomass was derived as C5 H7 O2 N + 1.45 O</t>
    </r>
    <r>
      <rPr>
        <vertAlign val="subscript"/>
        <sz val="12"/>
        <color theme="1"/>
        <rFont val="Calibri"/>
        <family val="2"/>
        <scheme val="minor"/>
      </rPr>
      <t>2</t>
    </r>
    <r>
      <rPr>
        <sz val="12"/>
        <color theme="1"/>
        <rFont val="Calibri"/>
        <family val="2"/>
        <scheme val="minor"/>
      </rPr>
      <t xml:space="preserve"> →  CO</t>
    </r>
    <r>
      <rPr>
        <vertAlign val="subscript"/>
        <sz val="12"/>
        <color theme="1"/>
        <rFont val="Calibri"/>
        <family val="2"/>
        <scheme val="minor"/>
      </rPr>
      <t>2</t>
    </r>
    <r>
      <rPr>
        <sz val="12"/>
        <color theme="1"/>
        <rFont val="Calibri"/>
        <family val="2"/>
        <scheme val="minor"/>
      </rPr>
      <t xml:space="preserve"> + 0.8 H</t>
    </r>
    <r>
      <rPr>
        <vertAlign val="subscript"/>
        <sz val="12"/>
        <color theme="1"/>
        <rFont val="Calibri"/>
        <family val="2"/>
        <scheme val="minor"/>
      </rPr>
      <t>2</t>
    </r>
    <r>
      <rPr>
        <sz val="12"/>
        <color theme="1"/>
        <rFont val="Calibri"/>
        <family val="2"/>
        <scheme val="minor"/>
      </rPr>
      <t>O + 0.2 HNO</t>
    </r>
    <r>
      <rPr>
        <vertAlign val="subscript"/>
        <sz val="12"/>
        <color theme="1"/>
        <rFont val="Calibri"/>
        <family val="2"/>
        <scheme val="minor"/>
      </rPr>
      <t>3</t>
    </r>
    <r>
      <rPr>
        <sz val="12"/>
        <color theme="1"/>
        <rFont val="Calibri"/>
        <family val="2"/>
        <scheme val="minor"/>
      </rPr>
      <t>. This means that 1.45 moles of O2 are needed for the oxidation of biomass, thus 1.45 g COD / g biomass</t>
    </r>
  </si>
  <si>
    <t>C5 H7 O2 N  + (5+7/4 -  2/2 -3/2*1)O2 --&gt; 5CO2 + (7/2 - 3/2*1)H2O + 1NH3</t>
  </si>
  <si>
    <t>C5 H7 O2 N  + (5+7/4 -  4/4 -6/4)O2 --&gt; 5CO2 + (4/2*1)H2O + 1NH3</t>
  </si>
  <si>
    <t>C5 H7 O2 N  + (20/4 -3/4)O2 --&gt; 5CO2 + (4/2*1)H2O + 1NH3</t>
  </si>
  <si>
    <t>C5 H7 O2 N  + 17/4O2 --&gt; 5CO2 + 2H2O + 1NH3</t>
  </si>
  <si>
    <r>
      <t xml:space="preserve">C5 H7 O2 N  + </t>
    </r>
    <r>
      <rPr>
        <b/>
        <sz val="12"/>
        <color theme="1"/>
        <rFont val="Calibri"/>
        <family val="2"/>
        <scheme val="minor"/>
      </rPr>
      <t>4.25</t>
    </r>
    <r>
      <rPr>
        <sz val="12"/>
        <color theme="1"/>
        <rFont val="Calibri"/>
        <family val="2"/>
        <scheme val="minor"/>
      </rPr>
      <t>O2 --&gt; 5CO2 + 2H2O + 1NH3</t>
    </r>
  </si>
  <si>
    <t>molar weight</t>
  </si>
  <si>
    <t xml:space="preserve">g COD </t>
  </si>
  <si>
    <t>g COD / g biomass</t>
  </si>
  <si>
    <t>aber Grady sagt 1.4 g COD / g biomass. Also doch ox zu Nitrat ?! Aber ichhab die Formel dafür noch nicht</t>
  </si>
  <si>
    <t>now same as microbes. Alternatively , 0.1 as in Lindeman, but thats less. Lezts stick  the original plan. Thats dry mass alreeady. Alhtough, no, the original plan was acetate - that does not hold for fauna. It barely holds for MO. 0.1</t>
  </si>
  <si>
    <t>mortalityFraction_per_degree</t>
  </si>
  <si>
    <t>Navel 2011</t>
  </si>
  <si>
    <t>uptake by N. rhenorhodanensis</t>
  </si>
  <si>
    <t>7.5 ± 5.9</t>
  </si>
  <si>
    <t>mg OM / day / (g dry niphargid)</t>
  </si>
  <si>
    <t>min</t>
  </si>
  <si>
    <t xml:space="preserve">max </t>
  </si>
  <si>
    <t>mean</t>
  </si>
  <si>
    <t>range</t>
  </si>
  <si>
    <t>mean HA</t>
  </si>
  <si>
    <t>mol OM_HA / day / (g dry niphargid)</t>
  </si>
  <si>
    <t>range HA</t>
  </si>
  <si>
    <t>mol OM_HA / day / (mol dry niphargid)</t>
  </si>
  <si>
    <t>mol COD of OM_HA  / day / (mol COD of dry niphargid)</t>
  </si>
  <si>
    <t xml:space="preserve">The carbon ingestion rates measured by Di Lorenzo et al. (2025) were 0.33 and 0.73 μg C / ind / d. Assuming an average individual dry mass of 0.0005 mg (Di Lorenzo et al., 2025) and an average abundance of 1 such individual per L, i.e. 0.0000005 g / L, this translates to </t>
  </si>
  <si>
    <t>μg C / ind / d</t>
  </si>
  <si>
    <t>mol C / ind / d</t>
  </si>
  <si>
    <t>mol C / (g dry mass   )/ d</t>
  </si>
  <si>
    <t>mol C / (g dry mass )/ d</t>
  </si>
  <si>
    <t>mol C / (mol dry mass ) / d</t>
  </si>
  <si>
    <t>mol COD / (mol dry mass COD ) / d</t>
  </si>
  <si>
    <t>g C / ind / d</t>
  </si>
  <si>
    <t>average dry mass COD / L in Fulda Aue</t>
  </si>
  <si>
    <t>average mol COD / L/ d</t>
  </si>
  <si>
    <t>Ks mol COD / L</t>
  </si>
  <si>
    <r>
      <t xml:space="preserve">Equating organic carbon to biofilm, we used the growth rate measured by (Foulquier et al., 2010) of 0.35  and using </t>
    </r>
    <r>
      <rPr>
        <sz val="12"/>
        <color theme="1"/>
        <rFont val="Calibri"/>
        <family val="2"/>
        <scheme val="minor"/>
      </rPr>
      <t xml:space="preserve">a biomass molar mass of 24.6 g/mol (see above), 1.05 mol COD/mol biomass (see above) this translates to </t>
    </r>
  </si>
  <si>
    <t>µg C bacteria / day</t>
  </si>
  <si>
    <t>mol C bacteria / day</t>
  </si>
  <si>
    <t>mol COD bacteria / day</t>
  </si>
  <si>
    <t>average COD bacterial dry mass of  mol COD / L FuldaAue</t>
  </si>
  <si>
    <t>/ day</t>
  </si>
  <si>
    <t>Mermillod-Blondin 2025</t>
  </si>
  <si>
    <t>% N per dry mass</t>
  </si>
  <si>
    <t xml:space="preserve"> P. cantabricus,</t>
  </si>
  <si>
    <t xml:space="preserve">P. meridianus, </t>
  </si>
  <si>
    <t xml:space="preserve">P. valdensis </t>
  </si>
  <si>
    <t xml:space="preserve">P. banyulensis, </t>
  </si>
  <si>
    <t xml:space="preserve">mean C:N ratios </t>
  </si>
  <si>
    <t xml:space="preserve">mean C:N ratios of the sedimentary biofilm </t>
  </si>
  <si>
    <t xml:space="preserve">sd C:N ratios of the sedimentary biofilm </t>
  </si>
  <si>
    <t>sd C:N ratios of CPOM</t>
  </si>
  <si>
    <r>
      <t xml:space="preserve"> The mean C:N ratios of CPOM ( </t>
    </r>
    <r>
      <rPr>
        <sz val="11"/>
        <color theme="1"/>
        <rFont val="STIXGeneral"/>
      </rPr>
      <t xml:space="preserve">± </t>
    </r>
    <r>
      <rPr>
        <sz val="11"/>
        <color theme="1"/>
        <rFont val="AGaramondPro"/>
      </rPr>
      <t xml:space="preserve">) and FPOM ( </t>
    </r>
    <r>
      <rPr>
        <sz val="11"/>
        <color theme="1"/>
        <rFont val="STIXGeneral"/>
      </rPr>
      <t xml:space="preserve">± </t>
    </r>
    <r>
      <rPr>
        <sz val="11"/>
        <color theme="1"/>
        <rFont val="AGaramondPro"/>
      </rPr>
      <t xml:space="preserve">) were comparable but they were markedly higher than those measured on sedimentary biofilm and isopods. </t>
    </r>
  </si>
  <si>
    <t>sd C:N ratios of FPOM</t>
  </si>
  <si>
    <t>mean C:N ratios of FPOM</t>
  </si>
  <si>
    <t>FPOM processing was lower, lets focus on CPOM</t>
  </si>
  <si>
    <t>average (Di Lorenzo, Navel, Mermillod-Blondin) mol COD / (mol dry mass COD ) / d</t>
  </si>
  <si>
    <t>total unempflich gegenueber mortality</t>
  </si>
  <si>
    <t>multiplied with max measured biomass</t>
  </si>
  <si>
    <t xml:space="preserve">mean indi- vidual dry mass of groundwater species:  mg) </t>
  </si>
  <si>
    <t>mean CPOM processing rate mol C / mg N fauna / d ( SI)</t>
  </si>
  <si>
    <t>meann bact processing rate mol C / mg C fauna / d ( SI)</t>
  </si>
  <si>
    <r>
      <t xml:space="preserve">Taking the approximate average of </t>
    </r>
    <r>
      <rPr>
        <sz val="12"/>
        <color theme="1"/>
        <rFont val="Calibri"/>
        <family val="2"/>
        <scheme val="minor"/>
      </rPr>
      <t xml:space="preserve">0.1 and 0.3 </t>
    </r>
    <r>
      <rPr>
        <sz val="12"/>
        <color rgb="FF000000"/>
        <rFont val="Calibri"/>
        <family val="2"/>
        <scheme val="minor"/>
      </rPr>
      <t xml:space="preserve">mol COD carbon / (mol COD dry mass) / d from the Di Lorenzo study, the average 0.00012 mol biofilm COD / mol fauna COD / d. </t>
    </r>
  </si>
  <si>
    <r>
      <t xml:space="preserve">(Mermillod-Blondin et al., 2025), and </t>
    </r>
    <r>
      <rPr>
        <sz val="12"/>
        <color theme="1"/>
        <rFont val="Calibri"/>
        <family val="2"/>
        <scheme val="minor"/>
      </rPr>
      <t xml:space="preserve">0.0008 </t>
    </r>
    <r>
      <rPr>
        <sz val="12"/>
        <color rgb="FF000000"/>
        <rFont val="Calibri"/>
        <family val="2"/>
        <scheme val="minor"/>
      </rPr>
      <t xml:space="preserve">mol COD OM / day / (mol COD dry niphargid) </t>
    </r>
  </si>
  <si>
    <t xml:space="preserve">mol COD carbon / (mol COD dry mass) / d </t>
  </si>
  <si>
    <t>max_t</t>
  </si>
  <si>
    <r>
      <rPr>
        <b/>
        <sz val="12"/>
        <color theme="1"/>
        <rFont val="Calibri"/>
        <family val="2"/>
        <scheme val="minor"/>
      </rPr>
      <t>biomass</t>
    </r>
    <r>
      <rPr>
        <sz val="12"/>
        <color theme="1"/>
        <rFont val="Calibri"/>
        <family val="2"/>
        <scheme val="minor"/>
      </rPr>
      <t xml:space="preserve"> C1 H1.8 O0.5 N0.2 (Heijnen, 2006),   (Heijnen book chapter in Basic Biotechnology; Stouthamer 1979) </t>
    </r>
  </si>
  <si>
    <t xml:space="preserve">g/mol </t>
  </si>
  <si>
    <t xml:space="preserve"> / d, i.e. growth</t>
  </si>
  <si>
    <t>min CPOM processing rate mg C / mg N fauna / d</t>
  </si>
  <si>
    <t xml:space="preserve">max CPOM processing rate mg C / mg N fauna / d </t>
  </si>
  <si>
    <t>min CPOM processing rate mol C / mg N fauna / d</t>
  </si>
  <si>
    <t>max CPOM processing rate mol C / mg N fauna / d</t>
  </si>
  <si>
    <t>min CPOM processing rate mol C / mg C fauna / d</t>
  </si>
  <si>
    <t>max CPOM processing rate mol C / mg C fauna / d</t>
  </si>
  <si>
    <t>min CPOM processing rate mol C / mol C fauna / d</t>
  </si>
  <si>
    <t>max CPOM processing rate mol C / mol C fauna / d</t>
  </si>
  <si>
    <t>min CPOM COD processing rate mol C / mol COD fauna / d</t>
  </si>
  <si>
    <t>max CPOM COD processing rate mol C / mol COD fauna / d</t>
  </si>
  <si>
    <t>mean microbial processing rate mg C / mg N fauna / d  ( SI table)</t>
  </si>
  <si>
    <t>mean MO processing rate mol C / mol C fauna / d ( SI)</t>
  </si>
  <si>
    <t>mean MO COD processing rate mol C / mol COD fauna / d (SI)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</si>
</sst>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0">
    <font>
      <sz val="12"/>
      <color theme="1"/>
      <name val="Calibri"/>
      <family val="2"/>
      <scheme val="minor"/>
    </font>
    <font>
      <b/>
      <sz val="12"/>
      <color theme="1"/>
      <name val="Calibri"/>
      <family val="2"/>
      <scheme val="minor"/>
    </font>
    <font>
      <sz val="12"/>
      <color rgb="FFFF0000"/>
      <name val="Calibri"/>
      <family val="2"/>
      <scheme val="minor"/>
    </font>
    <font>
      <sz val="10"/>
      <color rgb="FF000000"/>
      <name val="Tahoma"/>
      <family val="2"/>
    </font>
    <font>
      <b/>
      <sz val="10"/>
      <color rgb="FF000000"/>
      <name val="Tahoma"/>
      <family val="2"/>
    </font>
    <font>
      <sz val="12"/>
      <name val="Calibri"/>
      <family val="2"/>
      <scheme val="minor"/>
    </font>
    <font>
      <sz val="12"/>
      <color theme="1"/>
      <name val="Times New Roman"/>
      <family val="1"/>
    </font>
    <font>
      <u/>
      <sz val="12"/>
      <color theme="10"/>
      <name val="Calibri"/>
      <family val="2"/>
      <scheme val="minor"/>
    </font>
    <font>
      <sz val="12"/>
      <color rgb="FFFF0000"/>
      <name val="Calibri (Textkörper)"/>
    </font>
    <font>
      <sz val="12"/>
      <color theme="0" tint="-0.249977111117893"/>
      <name val="Calibri"/>
      <family val="2"/>
      <scheme val="minor"/>
    </font>
    <font>
      <vertAlign val="subscript"/>
      <sz val="12"/>
      <color theme="1"/>
      <name val="Calibri"/>
      <family val="2"/>
      <scheme val="minor"/>
    </font>
    <font>
      <sz val="8"/>
      <color theme="1"/>
      <name val="Calibri"/>
      <family val="2"/>
      <scheme val="minor"/>
    </font>
    <font>
      <sz val="10"/>
      <color theme="1"/>
      <name val="Times New Roman"/>
      <family val="1"/>
    </font>
    <font>
      <sz val="10"/>
      <color rgb="FFFF0000"/>
      <name val="Times New Roman"/>
      <family val="1"/>
    </font>
    <font>
      <sz val="10"/>
      <color rgb="FF000000"/>
      <name val="Calibri"/>
      <family val="2"/>
    </font>
    <font>
      <sz val="12"/>
      <color theme="0" tint="-0.14999847407452621"/>
      <name val="Calibri"/>
      <family val="2"/>
      <scheme val="minor"/>
    </font>
    <font>
      <sz val="12"/>
      <color rgb="FF000000"/>
      <name val="Calibri"/>
      <family val="2"/>
      <scheme val="minor"/>
    </font>
    <font>
      <sz val="11"/>
      <color theme="1"/>
      <name val="AGaramondPro"/>
    </font>
    <font>
      <sz val="11"/>
      <color theme="1"/>
      <name val="STIXGeneral"/>
    </font>
    <font>
      <sz val="12"/>
      <color rgb="FFCCCCCC"/>
      <name val="Menlo"/>
      <family val="2"/>
    </font>
  </fonts>
  <fills count="3">
    <fill>
      <patternFill patternType="none"/>
    </fill>
    <fill>
      <patternFill patternType="gray125"/>
    </fill>
    <fill>
      <patternFill patternType="solid">
        <fgColor theme="2"/>
        <bgColor indexed="64"/>
      </patternFill>
    </fill>
  </fills>
  <borders count="2">
    <border>
      <left/>
      <right/>
      <top/>
      <bottom/>
      <diagonal/>
    </border>
    <border>
      <left/>
      <right/>
      <top/>
      <bottom style="thin">
        <color indexed="64"/>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1" fillId="0" borderId="0" xfId="0" applyFont="1"/>
    <xf numFmtId="0" fontId="2" fillId="0" borderId="0" xfId="0" applyFont="1"/>
    <xf numFmtId="0" fontId="0" fillId="2" borderId="0" xfId="0" applyFill="1"/>
    <xf numFmtId="0" fontId="5" fillId="0" borderId="0" xfId="0" applyFont="1"/>
    <xf numFmtId="0" fontId="6" fillId="0" borderId="0" xfId="0" applyFont="1" applyAlignment="1">
      <alignment vertical="center"/>
    </xf>
    <xf numFmtId="0" fontId="7" fillId="0" borderId="0" xfId="1"/>
    <xf numFmtId="0" fontId="9" fillId="0" borderId="0" xfId="0" applyFont="1"/>
    <xf numFmtId="0" fontId="11" fillId="0" borderId="0" xfId="0" applyFont="1" applyAlignment="1">
      <alignment vertical="center"/>
    </xf>
    <xf numFmtId="0" fontId="12" fillId="0" borderId="0" xfId="0" applyFont="1"/>
    <xf numFmtId="2" fontId="0" fillId="0" borderId="0" xfId="0" applyNumberFormat="1"/>
    <xf numFmtId="164" fontId="0" fillId="0" borderId="0" xfId="0" applyNumberFormat="1"/>
    <xf numFmtId="0" fontId="0" fillId="0" borderId="0" xfId="0" applyAlignment="1">
      <alignment vertical="center"/>
    </xf>
    <xf numFmtId="0" fontId="15" fillId="0" borderId="0" xfId="0" applyFont="1"/>
    <xf numFmtId="11" fontId="0" fillId="0" borderId="0" xfId="0" applyNumberFormat="1"/>
    <xf numFmtId="0" fontId="16" fillId="0" borderId="0" xfId="0" applyFont="1"/>
    <xf numFmtId="0" fontId="16" fillId="0" borderId="0" xfId="0" applyFont="1" applyAlignment="1">
      <alignment vertical="center"/>
    </xf>
    <xf numFmtId="0" fontId="17" fillId="0" borderId="0" xfId="0" applyFont="1"/>
    <xf numFmtId="0" fontId="0" fillId="0" borderId="1" xfId="0" applyBorder="1"/>
    <xf numFmtId="0" fontId="19" fillId="0" borderId="0" xfId="0" applyFont="1"/>
    <xf numFmtId="0" fontId="0" fillId="0" borderId="0" xfId="0" applyFo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241300</xdr:colOff>
      <xdr:row>15</xdr:row>
      <xdr:rowOff>141857</xdr:rowOff>
    </xdr:to>
    <xdr:pic>
      <xdr:nvPicPr>
        <xdr:cNvPr id="2" name="Grafik 1">
          <a:extLst>
            <a:ext uri="{FF2B5EF4-FFF2-40B4-BE49-F238E27FC236}">
              <a16:creationId xmlns:a16="http://schemas.microsoft.com/office/drawing/2014/main" id="{ED756F8C-5C29-BE05-7C2A-E6A8D01FA927}"/>
            </a:ext>
          </a:extLst>
        </xdr:cNvPr>
        <xdr:cNvPicPr>
          <a:picLocks noChangeAspect="1"/>
        </xdr:cNvPicPr>
      </xdr:nvPicPr>
      <xdr:blipFill>
        <a:blip xmlns:r="http://schemas.openxmlformats.org/officeDocument/2006/relationships" r:embed="rId1"/>
        <a:stretch>
          <a:fillRect/>
        </a:stretch>
      </xdr:blipFill>
      <xdr:spPr>
        <a:xfrm>
          <a:off x="825500" y="203200"/>
          <a:ext cx="7772400" cy="298665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chmidt Isabel Susanne" id="{FE8B650B-F8E4-BC41-8B83-E1DC95C47930}" userId="S::susanne.schmidt@hbu.cas.cz::f37ea2e0-650b-40d4-8e86-e478cdc04071" providerId="AD"/>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4" dT="2025-06-02T13:55:05.15" personId="{FE8B650B-F8E4-BC41-8B83-E1DC95C47930}" id="{BC23984A-4BE5-DB42-8CB2-421621628373}">
    <text>7.5 g COD per g humic acid derived in SI, and on sheet calculating_COD in this file</text>
  </threadedComment>
  <threadedComment ref="X4" dT="2025-06-15T11:12:50.61" personId="{FE8B650B-F8E4-BC41-8B83-E1DC95C47930}" id="{A973AB73-A4B2-DB42-8CE2-2E9D2BA6D327}">
    <text>average of Di Lorenzo, Navel, Mermillod-Blondin</text>
  </threadedComment>
  <threadedComment ref="AB4" dT="2025-06-07T18:46:12.83" personId="{FE8B650B-F8E4-BC41-8B83-E1DC95C47930}" id="{B2EEDDFE-EFB6-B841-B3B1-49218DCB8340}">
    <text>Foulquier 2010 Relating</text>
  </threadedComment>
  <threadedComment ref="AG4" dT="2025-06-15T10:42:48.50" personId="{FE8B650B-F8E4-BC41-8B83-E1DC95C47930}" id="{D83D8722-287D-8543-91DC-DFD968583D4B}">
    <text>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text>
  </threadedComment>
  <threadedComment ref="AG4" dT="2025-06-20T08:24:23.10" personId="{FE8B650B-F8E4-BC41-8B83-E1DC95C47930}" id="{D5A6F296-99E3-944D-9E17-1BB8F5BD2616}" parentId="{D83D8722-287D-8543-91DC-DFD968583D4B}">
    <text>19.6.25 geändert, siehe SI</text>
  </threadedComment>
  <threadedComment ref="J5" dT="2025-06-02T13:55:05.15" personId="{FE8B650B-F8E4-BC41-8B83-E1DC95C47930}" id="{4DF7EAEC-CD2F-EF4A-9BF0-F3F1E42E4442}">
    <text>7.5 g COD per g humic acid derived in SI, and on sheet calculating_COD in this file</text>
  </threadedComment>
  <threadedComment ref="X5" dT="2025-06-15T11:12:50.61" personId="{FE8B650B-F8E4-BC41-8B83-E1DC95C47930}" id="{8B1BECD1-664B-894E-902F-58308D659DA9}">
    <text>average of Di Lorenzo, Navel, Mermillod-Blondin</text>
  </threadedComment>
  <threadedComment ref="AB5" dT="2025-06-07T18:46:12.83" personId="{FE8B650B-F8E4-BC41-8B83-E1DC95C47930}" id="{944B0A6E-7F35-8040-8354-541096ED2DBE}">
    <text>Foulquier 2010 Relating</text>
  </threadedComment>
  <threadedComment ref="AG5" dT="2025-06-15T10:42:48.50" personId="{FE8B650B-F8E4-BC41-8B83-E1DC95C47930}" id="{009AF6C5-B9AC-7541-9E56-015D22C54F6F}">
    <text>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text>
  </threadedComment>
  <threadedComment ref="J6" dT="2025-06-02T13:55:05.15" personId="{FE8B650B-F8E4-BC41-8B83-E1DC95C47930}" id="{0F2B29B9-EE72-C54A-8714-498DD1A3C8E0}">
    <text>7.5 g COD per g humic acid derived in SI, and on sheet calculating_COD in this file</text>
  </threadedComment>
  <threadedComment ref="X6" dT="2025-06-15T11:12:50.61" personId="{FE8B650B-F8E4-BC41-8B83-E1DC95C47930}" id="{3C0608B8-171F-064A-822A-A3CC6DDC9FC4}">
    <text>average of Di Lorenzo, Navel, Mermillod-Blondin</text>
  </threadedComment>
  <threadedComment ref="AB6" dT="2025-06-07T18:46:12.83" personId="{FE8B650B-F8E4-BC41-8B83-E1DC95C47930}" id="{4659E4E8-C0C9-CB4D-BEA9-CCB12CD16D5B}">
    <text>Foulquier 2010 Relating</text>
  </threadedComment>
  <threadedComment ref="AG6" dT="2025-06-15T10:42:48.50" personId="{FE8B650B-F8E4-BC41-8B83-E1DC95C47930}" id="{B40E02FA-A395-684A-865E-E43D81BF9EF7}">
    <text>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text>
  </threadedComment>
  <threadedComment ref="J7" dT="2025-06-02T13:55:05.15" personId="{FE8B650B-F8E4-BC41-8B83-E1DC95C47930}" id="{8AB12162-2BF7-9849-9318-3D6AC8CBAB8F}">
    <text>7.5 g COD per g humic acid derived in SI, and on sheet calculating_COD in this file</text>
  </threadedComment>
  <threadedComment ref="X7" dT="2025-06-15T11:12:50.61" personId="{FE8B650B-F8E4-BC41-8B83-E1DC95C47930}" id="{D578DC42-15AA-9242-8F7A-DCCCBD7DB327}">
    <text>average of Di Lorenzo, Navel, Mermillod-Blondin</text>
  </threadedComment>
  <threadedComment ref="AB7" dT="2025-06-07T18:46:12.83" personId="{FE8B650B-F8E4-BC41-8B83-E1DC95C47930}" id="{D9858DC7-D04C-4A4F-872C-0C59D675639A}">
    <text>Foulquier 2010 Relating</text>
  </threadedComment>
  <threadedComment ref="AG7" dT="2025-06-15T10:42:48.50" personId="{FE8B650B-F8E4-BC41-8B83-E1DC95C47930}" id="{507182A8-A16E-3B46-A78B-C475F7E79FFC}">
    <text>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text>
  </threadedComment>
  <threadedComment ref="J8" dT="2025-06-02T13:55:05.15" personId="{FE8B650B-F8E4-BC41-8B83-E1DC95C47930}" id="{28910C3F-267C-EF48-8C2C-F6C895522D82}">
    <text>7.5 g COD per g humic acid derived in SI, and on sheet calculating_COD in this file</text>
  </threadedComment>
  <threadedComment ref="X8" dT="2025-06-15T11:12:50.61" personId="{FE8B650B-F8E4-BC41-8B83-E1DC95C47930}" id="{E7A076DC-8E76-1148-951F-1F3AE0C081A3}">
    <text>average of Di Lorenzo, Navel, Mermillod-Blondin</text>
  </threadedComment>
  <threadedComment ref="AB8" dT="2025-06-07T18:46:12.83" personId="{FE8B650B-F8E4-BC41-8B83-E1DC95C47930}" id="{8ABD701E-78D0-4A47-8F33-59280C42BAAB}">
    <text>Foulquier 2010 Relating</text>
  </threadedComment>
  <threadedComment ref="AG8" dT="2025-06-15T10:42:48.50" personId="{FE8B650B-F8E4-BC41-8B83-E1DC95C47930}" id="{C8D487C4-854D-254E-A24C-BB3F3463062E}">
    <text>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text>
  </threadedComment>
  <threadedComment ref="J9" dT="2025-06-02T13:55:05.15" personId="{FE8B650B-F8E4-BC41-8B83-E1DC95C47930}" id="{E68EDC32-0C11-F24F-BC92-6599E44DEE2B}">
    <text>7.5 g COD per g humic acid derived in SI, and on sheet calculating_COD in this file</text>
  </threadedComment>
  <threadedComment ref="X9" dT="2025-06-15T11:12:50.61" personId="{FE8B650B-F8E4-BC41-8B83-E1DC95C47930}" id="{03DDDF21-1FDE-1A44-92CB-02C9D1E67681}">
    <text>average of Di Lorenzo, Navel, Mermillod-Blondin</text>
  </threadedComment>
  <threadedComment ref="AB9" dT="2025-06-07T18:46:12.83" personId="{FE8B650B-F8E4-BC41-8B83-E1DC95C47930}" id="{74D124C3-18A4-4549-83DD-7E733D9BD57D}">
    <text>Foulquier 2010 Relating</text>
  </threadedComment>
  <threadedComment ref="AG9" dT="2025-06-15T10:42:48.50" personId="{FE8B650B-F8E4-BC41-8B83-E1DC95C47930}" id="{59162C1A-C9E9-6D46-9F9A-64B6BAFF2CAB}">
    <text>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hemspider.com/Chemical-Structure.3282015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B919E-F4BE-8A4F-9679-A3F32BFB830E}">
  <dimension ref="A1:AL9"/>
  <sheetViews>
    <sheetView tabSelected="1" workbookViewId="0">
      <pane xSplit="2" ySplit="3" topLeftCell="N4" activePane="bottomRight" state="frozen"/>
      <selection pane="topRight" activeCell="C1" sqref="C1"/>
      <selection pane="bottomLeft" activeCell="A4" sqref="A4"/>
      <selection pane="bottomRight" activeCell="S3" sqref="S3"/>
    </sheetView>
  </sheetViews>
  <sheetFormatPr baseColWidth="10" defaultRowHeight="15.5"/>
  <cols>
    <col min="1" max="1" width="12.1640625" bestFit="1" customWidth="1"/>
    <col min="10" max="10" width="11.1640625" bestFit="1" customWidth="1"/>
    <col min="11" max="11" width="11.1640625" customWidth="1"/>
    <col min="13" max="13" width="11.1640625" bestFit="1" customWidth="1"/>
    <col min="23" max="24" width="12.1640625" bestFit="1" customWidth="1"/>
    <col min="35" max="35" width="12.1640625" bestFit="1" customWidth="1"/>
  </cols>
  <sheetData>
    <row r="1" spans="1:38">
      <c r="A1" t="s">
        <v>2</v>
      </c>
      <c r="C1" t="s">
        <v>38</v>
      </c>
      <c r="E1" t="s">
        <v>63</v>
      </c>
      <c r="F1" t="s">
        <v>42</v>
      </c>
      <c r="G1" t="s">
        <v>36</v>
      </c>
      <c r="M1" t="s">
        <v>61</v>
      </c>
      <c r="O1" t="s">
        <v>5</v>
      </c>
      <c r="P1" t="s">
        <v>14</v>
      </c>
      <c r="Q1" t="s">
        <v>16</v>
      </c>
      <c r="S1" t="s">
        <v>9</v>
      </c>
      <c r="U1" t="s">
        <v>21</v>
      </c>
      <c r="V1" t="s">
        <v>104</v>
      </c>
      <c r="W1" t="s">
        <v>102</v>
      </c>
      <c r="X1" t="s">
        <v>53</v>
      </c>
      <c r="Y1" t="s">
        <v>72</v>
      </c>
      <c r="Z1" t="s">
        <v>101</v>
      </c>
      <c r="AB1" t="s">
        <v>119</v>
      </c>
      <c r="AC1" t="s">
        <v>167</v>
      </c>
      <c r="AD1" t="s">
        <v>107</v>
      </c>
      <c r="AG1" t="s">
        <v>54</v>
      </c>
      <c r="AI1" t="s">
        <v>166</v>
      </c>
      <c r="AL1" t="s">
        <v>69</v>
      </c>
    </row>
    <row r="2" spans="1:38">
      <c r="A2" t="s">
        <v>1</v>
      </c>
      <c r="C2" t="s">
        <v>3</v>
      </c>
      <c r="F2" t="s">
        <v>56</v>
      </c>
      <c r="G2" t="s">
        <v>35</v>
      </c>
      <c r="J2" t="s">
        <v>58</v>
      </c>
      <c r="N2" t="s">
        <v>31</v>
      </c>
      <c r="O2" t="s">
        <v>8</v>
      </c>
      <c r="U2" t="s">
        <v>22</v>
      </c>
      <c r="V2" t="s">
        <v>103</v>
      </c>
      <c r="W2" t="s">
        <v>39</v>
      </c>
      <c r="X2" t="s">
        <v>25</v>
      </c>
      <c r="Y2" t="s">
        <v>27</v>
      </c>
      <c r="AE2" t="s">
        <v>11</v>
      </c>
      <c r="AH2" t="s">
        <v>33</v>
      </c>
      <c r="AI2" t="s">
        <v>74</v>
      </c>
      <c r="AL2" t="s">
        <v>70</v>
      </c>
    </row>
    <row r="3" spans="1:38">
      <c r="A3" t="s">
        <v>0</v>
      </c>
      <c r="B3" t="s">
        <v>7</v>
      </c>
      <c r="C3" t="s">
        <v>4</v>
      </c>
      <c r="D3" s="19" t="s">
        <v>174</v>
      </c>
      <c r="E3" t="s">
        <v>62</v>
      </c>
      <c r="F3" t="s">
        <v>55</v>
      </c>
      <c r="G3" t="s">
        <v>34</v>
      </c>
      <c r="H3" t="s">
        <v>41</v>
      </c>
      <c r="I3" t="s">
        <v>99</v>
      </c>
      <c r="J3" t="s">
        <v>57</v>
      </c>
      <c r="K3" t="s">
        <v>98</v>
      </c>
      <c r="L3" t="s">
        <v>37</v>
      </c>
      <c r="M3" t="s">
        <v>59</v>
      </c>
      <c r="N3" t="s">
        <v>30</v>
      </c>
      <c r="O3" t="s">
        <v>6</v>
      </c>
      <c r="P3" t="s">
        <v>43</v>
      </c>
      <c r="Q3" t="s">
        <v>15</v>
      </c>
      <c r="R3" t="s">
        <v>13</v>
      </c>
      <c r="S3" t="s">
        <v>10</v>
      </c>
      <c r="T3" t="s">
        <v>67</v>
      </c>
      <c r="U3" t="s">
        <v>20</v>
      </c>
      <c r="V3" t="s">
        <v>19</v>
      </c>
      <c r="W3" t="s">
        <v>23</v>
      </c>
      <c r="X3" t="s">
        <v>24</v>
      </c>
      <c r="Y3" t="s">
        <v>60</v>
      </c>
      <c r="Z3" s="4" t="s">
        <v>26</v>
      </c>
      <c r="AA3" t="s">
        <v>28</v>
      </c>
      <c r="AB3" t="s">
        <v>40</v>
      </c>
      <c r="AC3" t="s">
        <v>65</v>
      </c>
      <c r="AD3" t="s">
        <v>73</v>
      </c>
      <c r="AE3" t="s">
        <v>12</v>
      </c>
      <c r="AF3" t="s">
        <v>18</v>
      </c>
      <c r="AG3" t="s">
        <v>29</v>
      </c>
      <c r="AH3" t="s">
        <v>32</v>
      </c>
      <c r="AI3" t="s">
        <v>17</v>
      </c>
      <c r="AJ3" t="s">
        <v>66</v>
      </c>
      <c r="AK3" t="s">
        <v>68</v>
      </c>
      <c r="AL3" t="s">
        <v>120</v>
      </c>
    </row>
    <row r="4" spans="1:38">
      <c r="B4" s="4">
        <v>1</v>
      </c>
      <c r="C4">
        <v>1</v>
      </c>
      <c r="E4">
        <v>0</v>
      </c>
      <c r="F4">
        <f t="shared" ref="F4:F9" si="0">AVERAGE(1402, 1437)</f>
        <v>1419.5</v>
      </c>
      <c r="G4">
        <f t="shared" ref="G4:G9" si="1">203.5/1000</f>
        <v>0.20349999999999999</v>
      </c>
      <c r="I4">
        <f>G4/F4*1000</f>
        <v>0.14336033814723495</v>
      </c>
      <c r="J4">
        <f>I4*7.5</f>
        <v>1.0752025361042621</v>
      </c>
      <c r="K4">
        <f>J4/1000</f>
        <v>1.075202536104262E-3</v>
      </c>
      <c r="L4" s="4">
        <v>10</v>
      </c>
      <c r="M4">
        <f>L4*J4</f>
        <v>10.752025361042621</v>
      </c>
      <c r="N4" s="20">
        <v>1E-4</v>
      </c>
      <c r="O4">
        <v>10</v>
      </c>
      <c r="P4">
        <v>0.08</v>
      </c>
      <c r="Q4">
        <f t="shared" ref="Q4:Q7" si="2" xml:space="preserve"> 0.01* P4</f>
        <v>8.0000000000000004E-4</v>
      </c>
      <c r="R4">
        <v>1</v>
      </c>
      <c r="S4">
        <v>0</v>
      </c>
      <c r="T4" t="s">
        <v>64</v>
      </c>
      <c r="U4">
        <v>30</v>
      </c>
      <c r="V4">
        <f>10.6/24.6*1.07/2*0.9</f>
        <v>0.20747560975609758</v>
      </c>
      <c r="W4">
        <f>4.3 /1000000 *1.07</f>
        <v>4.6009999999999997E-6</v>
      </c>
      <c r="X4">
        <f>0.00000058</f>
        <v>5.7999999999999995E-7</v>
      </c>
      <c r="Y4">
        <v>0.43</v>
      </c>
      <c r="Z4" s="4">
        <f>Y4*1.066</f>
        <v>0.45838000000000001</v>
      </c>
      <c r="AA4" s="20">
        <f>Z4 *24</f>
        <v>11.00112</v>
      </c>
      <c r="AB4">
        <v>0.06</v>
      </c>
      <c r="AC4">
        <v>1</v>
      </c>
      <c r="AD4">
        <v>1E-4</v>
      </c>
      <c r="AE4">
        <v>1</v>
      </c>
      <c r="AF4">
        <v>0</v>
      </c>
      <c r="AG4">
        <f>10*0.103714686</f>
        <v>1.03714686</v>
      </c>
      <c r="AH4">
        <v>1E-3</v>
      </c>
      <c r="AI4">
        <f t="shared" ref="AI4:AI9" si="3">0.0000001</f>
        <v>9.9999999999999995E-8</v>
      </c>
      <c r="AJ4">
        <v>1</v>
      </c>
      <c r="AK4" t="s">
        <v>64</v>
      </c>
      <c r="AL4">
        <v>9.375E-2</v>
      </c>
    </row>
    <row r="5" spans="1:38">
      <c r="B5">
        <v>2</v>
      </c>
      <c r="C5">
        <v>1</v>
      </c>
      <c r="E5">
        <v>0</v>
      </c>
      <c r="F5">
        <f t="shared" si="0"/>
        <v>1419.5</v>
      </c>
      <c r="G5">
        <f t="shared" si="1"/>
        <v>0.20349999999999999</v>
      </c>
      <c r="I5">
        <f>G5/F5*1000</f>
        <v>0.14336033814723495</v>
      </c>
      <c r="J5">
        <f t="shared" ref="J5:J9" si="4">I5*7.5</f>
        <v>1.0752025361042621</v>
      </c>
      <c r="K5">
        <f>J5/1000</f>
        <v>1.075202536104262E-3</v>
      </c>
      <c r="L5" s="4">
        <v>10</v>
      </c>
      <c r="M5">
        <f>L5*J5</f>
        <v>10.752025361042621</v>
      </c>
      <c r="N5" s="20">
        <v>1E-4</v>
      </c>
      <c r="O5">
        <v>10</v>
      </c>
      <c r="P5">
        <v>0.08</v>
      </c>
      <c r="Q5">
        <f t="shared" si="2"/>
        <v>8.0000000000000004E-4</v>
      </c>
      <c r="R5">
        <v>1</v>
      </c>
      <c r="S5">
        <v>0</v>
      </c>
      <c r="T5" t="s">
        <v>64</v>
      </c>
      <c r="U5">
        <v>30</v>
      </c>
      <c r="V5">
        <f>10.6/24.6*1.07/2*0.9</f>
        <v>0.20747560975609758</v>
      </c>
      <c r="W5">
        <f>4.3 /1000000 *1.07</f>
        <v>4.6009999999999997E-6</v>
      </c>
      <c r="X5">
        <f t="shared" ref="X5:X9" si="5">0.00000058</f>
        <v>5.7999999999999995E-7</v>
      </c>
      <c r="Y5">
        <v>0.43</v>
      </c>
      <c r="Z5" s="4">
        <f>Y5*1.066</f>
        <v>0.45838000000000001</v>
      </c>
      <c r="AA5" s="20">
        <f>Z5 *24</f>
        <v>11.00112</v>
      </c>
      <c r="AB5">
        <v>0.06</v>
      </c>
      <c r="AC5">
        <v>1</v>
      </c>
      <c r="AD5">
        <v>1E-4</v>
      </c>
      <c r="AE5">
        <v>0</v>
      </c>
      <c r="AF5">
        <v>0</v>
      </c>
      <c r="AG5">
        <f t="shared" ref="AG5:AG9" si="6">10*0.103714686</f>
        <v>1.03714686</v>
      </c>
      <c r="AH5">
        <v>1E-3</v>
      </c>
      <c r="AI5">
        <f t="shared" si="3"/>
        <v>9.9999999999999995E-8</v>
      </c>
      <c r="AJ5">
        <v>1</v>
      </c>
      <c r="AK5" t="s">
        <v>64</v>
      </c>
      <c r="AL5">
        <v>9.375E-2</v>
      </c>
    </row>
    <row r="6" spans="1:38">
      <c r="B6">
        <v>3</v>
      </c>
      <c r="C6">
        <v>1</v>
      </c>
      <c r="E6">
        <v>1.5</v>
      </c>
      <c r="F6">
        <f t="shared" si="0"/>
        <v>1419.5</v>
      </c>
      <c r="G6">
        <f t="shared" si="1"/>
        <v>0.20349999999999999</v>
      </c>
      <c r="I6">
        <f>G6/F6*1000</f>
        <v>0.14336033814723495</v>
      </c>
      <c r="J6">
        <f t="shared" si="4"/>
        <v>1.0752025361042621</v>
      </c>
      <c r="K6">
        <f t="shared" ref="K6:K9" si="7">J6/1000</f>
        <v>1.075202536104262E-3</v>
      </c>
      <c r="L6" s="4">
        <v>10</v>
      </c>
      <c r="M6">
        <f t="shared" ref="M6" si="8">L6*J6</f>
        <v>10.752025361042621</v>
      </c>
      <c r="N6" s="20">
        <v>1E-4</v>
      </c>
      <c r="O6">
        <v>10</v>
      </c>
      <c r="P6">
        <v>0.08</v>
      </c>
      <c r="Q6">
        <f t="shared" si="2"/>
        <v>8.0000000000000004E-4</v>
      </c>
      <c r="R6">
        <v>1</v>
      </c>
      <c r="S6">
        <v>0</v>
      </c>
      <c r="T6" t="s">
        <v>64</v>
      </c>
      <c r="U6">
        <v>30</v>
      </c>
      <c r="V6">
        <f t="shared" ref="V6:V9" si="9">10.6/24.6*1.07/2*0.9</f>
        <v>0.20747560975609758</v>
      </c>
      <c r="W6">
        <f t="shared" ref="W6:W9" si="10">4.3 /1000000 *1.07</f>
        <v>4.6009999999999997E-6</v>
      </c>
      <c r="X6">
        <f t="shared" si="5"/>
        <v>5.7999999999999995E-7</v>
      </c>
      <c r="Y6">
        <v>0.43</v>
      </c>
      <c r="Z6" s="4">
        <f t="shared" ref="Z6:Z8" si="11">Y6*1.066</f>
        <v>0.45838000000000001</v>
      </c>
      <c r="AA6" s="20">
        <f t="shared" ref="AA6:AA8" si="12">Z6 *24</f>
        <v>11.00112</v>
      </c>
      <c r="AB6">
        <v>0.06</v>
      </c>
      <c r="AC6">
        <v>1</v>
      </c>
      <c r="AD6">
        <v>1E-4</v>
      </c>
      <c r="AE6">
        <v>1</v>
      </c>
      <c r="AF6">
        <v>0</v>
      </c>
      <c r="AG6">
        <f t="shared" si="6"/>
        <v>1.03714686</v>
      </c>
      <c r="AH6">
        <v>1E-3</v>
      </c>
      <c r="AI6">
        <f t="shared" si="3"/>
        <v>9.9999999999999995E-8</v>
      </c>
      <c r="AJ6">
        <v>1</v>
      </c>
      <c r="AK6" t="s">
        <v>64</v>
      </c>
      <c r="AL6">
        <v>9.375E-2</v>
      </c>
    </row>
    <row r="7" spans="1:38">
      <c r="B7">
        <v>4</v>
      </c>
      <c r="C7">
        <v>1</v>
      </c>
      <c r="E7">
        <v>1.5</v>
      </c>
      <c r="F7">
        <f t="shared" si="0"/>
        <v>1419.5</v>
      </c>
      <c r="G7">
        <f t="shared" si="1"/>
        <v>0.20349999999999999</v>
      </c>
      <c r="I7">
        <f>G7/F7*1000</f>
        <v>0.14336033814723495</v>
      </c>
      <c r="J7">
        <f t="shared" si="4"/>
        <v>1.0752025361042621</v>
      </c>
      <c r="K7">
        <f t="shared" si="7"/>
        <v>1.075202536104262E-3</v>
      </c>
      <c r="L7" s="4">
        <v>10</v>
      </c>
      <c r="M7">
        <f>L7*J7</f>
        <v>10.752025361042621</v>
      </c>
      <c r="N7" s="20">
        <v>1E-4</v>
      </c>
      <c r="O7">
        <v>10</v>
      </c>
      <c r="P7">
        <v>0.08</v>
      </c>
      <c r="Q7">
        <f t="shared" si="2"/>
        <v>8.0000000000000004E-4</v>
      </c>
      <c r="R7">
        <v>1</v>
      </c>
      <c r="S7">
        <v>0</v>
      </c>
      <c r="T7" t="s">
        <v>64</v>
      </c>
      <c r="U7">
        <v>30</v>
      </c>
      <c r="V7">
        <f t="shared" si="9"/>
        <v>0.20747560975609758</v>
      </c>
      <c r="W7">
        <f t="shared" si="10"/>
        <v>4.6009999999999997E-6</v>
      </c>
      <c r="X7">
        <f t="shared" si="5"/>
        <v>5.7999999999999995E-7</v>
      </c>
      <c r="Y7">
        <v>0.43</v>
      </c>
      <c r="Z7" s="4">
        <f t="shared" si="11"/>
        <v>0.45838000000000001</v>
      </c>
      <c r="AA7" s="20">
        <f t="shared" si="12"/>
        <v>11.00112</v>
      </c>
      <c r="AB7">
        <v>0.06</v>
      </c>
      <c r="AC7">
        <v>1</v>
      </c>
      <c r="AD7">
        <v>1E-4</v>
      </c>
      <c r="AE7">
        <v>0</v>
      </c>
      <c r="AF7">
        <v>0</v>
      </c>
      <c r="AG7">
        <f t="shared" si="6"/>
        <v>1.03714686</v>
      </c>
      <c r="AH7">
        <v>1E-3</v>
      </c>
      <c r="AI7">
        <f t="shared" si="3"/>
        <v>9.9999999999999995E-8</v>
      </c>
      <c r="AJ7">
        <v>1</v>
      </c>
      <c r="AK7" t="s">
        <v>64</v>
      </c>
      <c r="AL7">
        <v>9.375E-2</v>
      </c>
    </row>
    <row r="8" spans="1:38">
      <c r="B8">
        <v>5</v>
      </c>
      <c r="C8">
        <v>1</v>
      </c>
      <c r="E8">
        <v>3</v>
      </c>
      <c r="F8">
        <f t="shared" si="0"/>
        <v>1419.5</v>
      </c>
      <c r="G8">
        <f t="shared" si="1"/>
        <v>0.20349999999999999</v>
      </c>
      <c r="I8">
        <f>G8/F8*1000</f>
        <v>0.14336033814723495</v>
      </c>
      <c r="J8">
        <f t="shared" si="4"/>
        <v>1.0752025361042621</v>
      </c>
      <c r="K8">
        <f t="shared" si="7"/>
        <v>1.075202536104262E-3</v>
      </c>
      <c r="L8" s="4">
        <v>10</v>
      </c>
      <c r="M8">
        <f t="shared" ref="M8" si="13">L8*J8</f>
        <v>10.752025361042621</v>
      </c>
      <c r="N8" s="20">
        <v>1E-4</v>
      </c>
      <c r="O8">
        <v>10</v>
      </c>
      <c r="P8">
        <v>0.08</v>
      </c>
      <c r="Q8">
        <f t="shared" ref="Q8:Q9" si="14" xml:space="preserve"> 0.01* P8</f>
        <v>8.0000000000000004E-4</v>
      </c>
      <c r="R8">
        <v>1</v>
      </c>
      <c r="S8">
        <v>0</v>
      </c>
      <c r="T8" t="s">
        <v>64</v>
      </c>
      <c r="U8">
        <v>30</v>
      </c>
      <c r="V8">
        <f t="shared" si="9"/>
        <v>0.20747560975609758</v>
      </c>
      <c r="W8">
        <f t="shared" si="10"/>
        <v>4.6009999999999997E-6</v>
      </c>
      <c r="X8">
        <f t="shared" si="5"/>
        <v>5.7999999999999995E-7</v>
      </c>
      <c r="Y8">
        <v>0.43</v>
      </c>
      <c r="Z8" s="4">
        <f t="shared" si="11"/>
        <v>0.45838000000000001</v>
      </c>
      <c r="AA8" s="20">
        <f t="shared" si="12"/>
        <v>11.00112</v>
      </c>
      <c r="AB8">
        <v>0.06</v>
      </c>
      <c r="AC8">
        <v>1</v>
      </c>
      <c r="AD8">
        <v>1E-4</v>
      </c>
      <c r="AE8">
        <v>1</v>
      </c>
      <c r="AF8">
        <v>0</v>
      </c>
      <c r="AG8">
        <f t="shared" si="6"/>
        <v>1.03714686</v>
      </c>
      <c r="AH8">
        <v>1E-3</v>
      </c>
      <c r="AI8">
        <f t="shared" si="3"/>
        <v>9.9999999999999995E-8</v>
      </c>
      <c r="AJ8">
        <v>1</v>
      </c>
      <c r="AK8" t="s">
        <v>64</v>
      </c>
      <c r="AL8">
        <v>9.375E-2</v>
      </c>
    </row>
    <row r="9" spans="1:38">
      <c r="B9">
        <v>6</v>
      </c>
      <c r="C9">
        <v>1</v>
      </c>
      <c r="E9">
        <v>3</v>
      </c>
      <c r="F9">
        <f t="shared" si="0"/>
        <v>1419.5</v>
      </c>
      <c r="G9">
        <f t="shared" si="1"/>
        <v>0.20349999999999999</v>
      </c>
      <c r="I9">
        <f>G9/F9*1000</f>
        <v>0.14336033814723495</v>
      </c>
      <c r="J9">
        <f t="shared" si="4"/>
        <v>1.0752025361042621</v>
      </c>
      <c r="K9">
        <f t="shared" si="7"/>
        <v>1.075202536104262E-3</v>
      </c>
      <c r="L9" s="4">
        <v>10</v>
      </c>
      <c r="M9">
        <f>L9*J9</f>
        <v>10.752025361042621</v>
      </c>
      <c r="N9" s="20">
        <v>1E-4</v>
      </c>
      <c r="O9">
        <v>10</v>
      </c>
      <c r="P9">
        <v>0.08</v>
      </c>
      <c r="Q9">
        <f t="shared" si="14"/>
        <v>8.0000000000000004E-4</v>
      </c>
      <c r="R9">
        <v>1</v>
      </c>
      <c r="S9">
        <v>0</v>
      </c>
      <c r="T9" t="s">
        <v>64</v>
      </c>
      <c r="U9">
        <v>30</v>
      </c>
      <c r="V9">
        <f t="shared" si="9"/>
        <v>0.20747560975609758</v>
      </c>
      <c r="W9">
        <f t="shared" si="10"/>
        <v>4.6009999999999997E-6</v>
      </c>
      <c r="X9">
        <f t="shared" si="5"/>
        <v>5.7999999999999995E-7</v>
      </c>
      <c r="Y9">
        <v>0.43</v>
      </c>
      <c r="Z9" s="4">
        <f>Y9*1.066</f>
        <v>0.45838000000000001</v>
      </c>
      <c r="AA9" s="20">
        <f>Z9 *24</f>
        <v>11.00112</v>
      </c>
      <c r="AB9">
        <v>0.06</v>
      </c>
      <c r="AC9">
        <v>1</v>
      </c>
      <c r="AD9">
        <v>1E-4</v>
      </c>
      <c r="AE9">
        <v>0</v>
      </c>
      <c r="AF9">
        <v>0</v>
      </c>
      <c r="AG9">
        <f t="shared" si="6"/>
        <v>1.03714686</v>
      </c>
      <c r="AH9">
        <v>1E-3</v>
      </c>
      <c r="AI9">
        <f t="shared" si="3"/>
        <v>9.9999999999999995E-8</v>
      </c>
      <c r="AJ9">
        <v>1</v>
      </c>
      <c r="AK9" t="s">
        <v>64</v>
      </c>
      <c r="AL9">
        <v>9.375E-2</v>
      </c>
    </row>
  </sheetData>
  <autoFilter ref="A3:AL3" xr:uid="{AB7B919E-F4BE-8A4F-9679-A3F32BFB830E}"/>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44CC1-E167-AE40-81F2-8D9D4BC8EB36}">
  <dimension ref="B1:U127"/>
  <sheetViews>
    <sheetView topLeftCell="A65" workbookViewId="0">
      <selection activeCell="K64" sqref="K64"/>
    </sheetView>
  </sheetViews>
  <sheetFormatPr baseColWidth="10" defaultRowHeight="15.5"/>
  <cols>
    <col min="4" max="4" width="12.1640625" bestFit="1" customWidth="1"/>
    <col min="11" max="12" width="12.1640625" bestFit="1" customWidth="1"/>
  </cols>
  <sheetData>
    <row r="1" spans="2:21">
      <c r="B1" t="s">
        <v>44</v>
      </c>
    </row>
    <row r="3" spans="2:21">
      <c r="L3" s="7"/>
      <c r="M3" s="7"/>
      <c r="N3" s="7"/>
      <c r="O3" s="7"/>
      <c r="P3" s="7"/>
      <c r="Q3" s="7"/>
      <c r="R3" s="7"/>
      <c r="S3" s="7"/>
      <c r="T3" s="7"/>
      <c r="U3" s="7"/>
    </row>
    <row r="4" spans="2:21">
      <c r="L4" s="7"/>
      <c r="M4" s="7"/>
      <c r="N4" s="7"/>
      <c r="O4" s="7"/>
      <c r="P4" s="7"/>
      <c r="Q4" s="7"/>
      <c r="R4" s="7"/>
      <c r="S4" s="7"/>
      <c r="T4" s="7"/>
      <c r="U4" s="7"/>
    </row>
    <row r="5" spans="2:21">
      <c r="L5" s="7"/>
      <c r="M5" s="7"/>
      <c r="N5" s="7"/>
      <c r="O5" s="7"/>
      <c r="P5" s="7"/>
      <c r="Q5" s="7"/>
      <c r="R5" s="7"/>
      <c r="S5" s="7"/>
      <c r="T5" s="7"/>
      <c r="U5" s="7"/>
    </row>
    <row r="6" spans="2:21">
      <c r="L6" s="7"/>
      <c r="M6" s="7"/>
      <c r="N6" s="7"/>
      <c r="O6" s="7"/>
      <c r="P6" s="7"/>
      <c r="Q6" s="7"/>
      <c r="R6" s="7"/>
      <c r="S6" s="7"/>
      <c r="T6" s="7"/>
      <c r="U6" s="7"/>
    </row>
    <row r="7" spans="2:21">
      <c r="L7" s="7"/>
      <c r="M7" s="7"/>
      <c r="N7" s="7"/>
      <c r="O7" s="7"/>
      <c r="P7" s="7"/>
      <c r="Q7" s="7"/>
      <c r="R7" s="7"/>
      <c r="S7" s="7"/>
      <c r="T7" s="7"/>
      <c r="U7" s="7"/>
    </row>
    <row r="8" spans="2:21">
      <c r="L8" s="7"/>
      <c r="M8" s="7"/>
      <c r="N8" s="7"/>
      <c r="O8" s="7"/>
      <c r="P8" s="7"/>
      <c r="Q8" s="7"/>
      <c r="R8" s="7"/>
      <c r="S8" s="7"/>
      <c r="T8" s="7"/>
      <c r="U8" s="7"/>
    </row>
    <row r="11" spans="2:21">
      <c r="P11" s="3"/>
    </row>
    <row r="13" spans="2:21">
      <c r="O13" s="2"/>
    </row>
    <row r="16" spans="2:21">
      <c r="L16" s="6" t="s">
        <v>76</v>
      </c>
    </row>
    <row r="17" spans="7:20">
      <c r="L17" s="1" t="s">
        <v>75</v>
      </c>
      <c r="N17" t="s">
        <v>45</v>
      </c>
      <c r="O17" t="s">
        <v>49</v>
      </c>
      <c r="P17" t="s">
        <v>46</v>
      </c>
      <c r="Q17" t="s">
        <v>47</v>
      </c>
      <c r="R17" t="s">
        <v>48</v>
      </c>
      <c r="T17" t="s">
        <v>52</v>
      </c>
    </row>
    <row r="18" spans="7:20">
      <c r="G18">
        <f>30/4</f>
        <v>7.5</v>
      </c>
      <c r="L18" t="s">
        <v>85</v>
      </c>
      <c r="N18" t="s">
        <v>50</v>
      </c>
      <c r="O18">
        <v>9</v>
      </c>
      <c r="P18">
        <v>9</v>
      </c>
      <c r="Q18">
        <v>6</v>
      </c>
      <c r="R18">
        <v>1</v>
      </c>
      <c r="T18">
        <f>O18+P18/4-Q18/2-3/4*R18</f>
        <v>7.5</v>
      </c>
    </row>
    <row r="19" spans="7:20">
      <c r="L19" t="s">
        <v>83</v>
      </c>
    </row>
    <row r="20" spans="7:20">
      <c r="L20" t="s">
        <v>84</v>
      </c>
    </row>
    <row r="21" spans="7:20">
      <c r="L21">
        <f>9*12+9+6*16+14</f>
        <v>227</v>
      </c>
      <c r="M21" t="s">
        <v>71</v>
      </c>
    </row>
    <row r="22" spans="7:20">
      <c r="L22" t="s">
        <v>77</v>
      </c>
    </row>
    <row r="25" spans="7:20">
      <c r="L25" s="1" t="s">
        <v>78</v>
      </c>
      <c r="N25" t="s">
        <v>45</v>
      </c>
      <c r="O25" t="s">
        <v>49</v>
      </c>
      <c r="P25" t="s">
        <v>46</v>
      </c>
      <c r="Q25" t="s">
        <v>47</v>
      </c>
      <c r="R25" t="s">
        <v>48</v>
      </c>
      <c r="T25" t="s">
        <v>52</v>
      </c>
    </row>
    <row r="26" spans="7:20">
      <c r="L26" t="s">
        <v>86</v>
      </c>
      <c r="N26" t="s">
        <v>80</v>
      </c>
      <c r="O26">
        <v>2</v>
      </c>
      <c r="P26">
        <v>4</v>
      </c>
      <c r="Q26">
        <v>2</v>
      </c>
      <c r="R26">
        <v>0</v>
      </c>
      <c r="T26">
        <f>O26+P26/4-Q26/2-3/4*R26</f>
        <v>2</v>
      </c>
    </row>
    <row r="27" spans="7:20">
      <c r="L27">
        <v>60</v>
      </c>
      <c r="M27" t="s">
        <v>71</v>
      </c>
    </row>
    <row r="28" spans="7:20">
      <c r="L28" t="s">
        <v>79</v>
      </c>
    </row>
    <row r="31" spans="7:20">
      <c r="L31" t="s">
        <v>175</v>
      </c>
    </row>
    <row r="32" spans="7:20" ht="17.5">
      <c r="L32" t="s">
        <v>81</v>
      </c>
    </row>
    <row r="33" spans="10:20">
      <c r="L33" s="1" t="s">
        <v>82</v>
      </c>
      <c r="N33" t="s">
        <v>45</v>
      </c>
      <c r="O33" t="s">
        <v>49</v>
      </c>
      <c r="P33" t="s">
        <v>46</v>
      </c>
      <c r="Q33" t="s">
        <v>47</v>
      </c>
      <c r="R33" t="s">
        <v>48</v>
      </c>
      <c r="T33" t="s">
        <v>52</v>
      </c>
    </row>
    <row r="34" spans="10:20">
      <c r="L34" t="s">
        <v>92</v>
      </c>
      <c r="N34" t="s">
        <v>80</v>
      </c>
      <c r="O34">
        <v>1</v>
      </c>
      <c r="P34">
        <v>1.8</v>
      </c>
      <c r="Q34">
        <v>0.5</v>
      </c>
      <c r="R34">
        <v>0.2</v>
      </c>
      <c r="T34">
        <f>O34+P34/4-Q34/2-3/4*R34</f>
        <v>1.0499999999999998</v>
      </c>
    </row>
    <row r="35" spans="10:20">
      <c r="J35" s="11">
        <f>1.8/2</f>
        <v>0.9</v>
      </c>
      <c r="K35" s="10">
        <f>3/2*0.2</f>
        <v>0.30000000000000004</v>
      </c>
      <c r="L35" t="s">
        <v>89</v>
      </c>
    </row>
    <row r="36" spans="10:20">
      <c r="L36">
        <f>1+1.8/4-  0.5/2 -3/4*0.2</f>
        <v>1.0499999999999998</v>
      </c>
      <c r="M36">
        <f>1+(1.8/4) -  (0.5/2) -(3/4*0.2)</f>
        <v>1.0499999999999998</v>
      </c>
    </row>
    <row r="37" spans="10:20">
      <c r="L37" t="s">
        <v>88</v>
      </c>
      <c r="M37" s="9" t="s">
        <v>94</v>
      </c>
    </row>
    <row r="38" spans="10:20">
      <c r="M38">
        <v>3.4</v>
      </c>
      <c r="N38" t="s">
        <v>87</v>
      </c>
      <c r="P38">
        <f>2+0.8+3*0.2</f>
        <v>3.4</v>
      </c>
      <c r="Q38" t="s">
        <v>87</v>
      </c>
    </row>
    <row r="39" spans="10:20">
      <c r="N39" t="s">
        <v>91</v>
      </c>
    </row>
    <row r="40" spans="10:20">
      <c r="L40" t="s">
        <v>90</v>
      </c>
      <c r="M40" t="s">
        <v>93</v>
      </c>
    </row>
    <row r="41" spans="10:20">
      <c r="M41">
        <v>2.6</v>
      </c>
      <c r="N41" t="s">
        <v>87</v>
      </c>
      <c r="P41">
        <v>2.6</v>
      </c>
      <c r="Q41" t="s">
        <v>87</v>
      </c>
    </row>
    <row r="42" spans="10:20">
      <c r="L42" t="s">
        <v>100</v>
      </c>
      <c r="M42">
        <f>12+1.8+0.5*16+0.2*14</f>
        <v>24.6</v>
      </c>
      <c r="N42" t="s">
        <v>176</v>
      </c>
    </row>
    <row r="48" spans="10:20">
      <c r="L48" s="5"/>
    </row>
    <row r="50" spans="3:14">
      <c r="M50" t="s">
        <v>1</v>
      </c>
      <c r="N50" t="s">
        <v>95</v>
      </c>
    </row>
    <row r="51" spans="3:14">
      <c r="L51">
        <f>0.2035/1419.5*1000</f>
        <v>0.14336033814723495</v>
      </c>
      <c r="M51" t="s">
        <v>97</v>
      </c>
      <c r="N51" t="s">
        <v>96</v>
      </c>
    </row>
    <row r="54" spans="3:14">
      <c r="L54">
        <f>0.00000005/24.6*0.1</f>
        <v>2.032520325203252E-10</v>
      </c>
      <c r="M54" t="s">
        <v>105</v>
      </c>
    </row>
    <row r="56" spans="3:14">
      <c r="L56">
        <f>1.05*2.03*10^-10</f>
        <v>2.1315000000000001E-10</v>
      </c>
      <c r="M56" s="12" t="s">
        <v>106</v>
      </c>
    </row>
    <row r="57" spans="3:14">
      <c r="L57" s="8"/>
    </row>
    <row r="58" spans="3:14">
      <c r="L58" t="s">
        <v>108</v>
      </c>
    </row>
    <row r="59" spans="3:14" ht="17.5">
      <c r="L59" t="s">
        <v>109</v>
      </c>
    </row>
    <row r="60" spans="3:14">
      <c r="C60" t="s">
        <v>121</v>
      </c>
      <c r="D60" t="s">
        <v>122</v>
      </c>
      <c r="L60" s="1" t="s">
        <v>115</v>
      </c>
      <c r="M60">
        <f>5*12+7+2*16+14</f>
        <v>113</v>
      </c>
      <c r="N60" t="s">
        <v>51</v>
      </c>
    </row>
    <row r="61" spans="3:14">
      <c r="D61" t="s">
        <v>123</v>
      </c>
      <c r="E61" t="s">
        <v>124</v>
      </c>
      <c r="L61" t="s">
        <v>110</v>
      </c>
    </row>
    <row r="62" spans="3:14">
      <c r="C62" t="s">
        <v>127</v>
      </c>
      <c r="D62">
        <v>7.5</v>
      </c>
      <c r="E62" t="s">
        <v>124</v>
      </c>
      <c r="L62" t="s">
        <v>111</v>
      </c>
    </row>
    <row r="63" spans="3:14">
      <c r="C63" t="s">
        <v>128</v>
      </c>
      <c r="D63">
        <v>5.9</v>
      </c>
      <c r="E63" t="s">
        <v>124</v>
      </c>
      <c r="L63" t="s">
        <v>112</v>
      </c>
    </row>
    <row r="64" spans="3:14">
      <c r="C64" s="13" t="s">
        <v>125</v>
      </c>
      <c r="D64" s="13">
        <f>D62-D63</f>
        <v>1.5999999999999996</v>
      </c>
      <c r="E64" s="13" t="s">
        <v>124</v>
      </c>
      <c r="F64" s="13"/>
      <c r="K64">
        <f>17/4</f>
        <v>4.25</v>
      </c>
      <c r="L64" t="s">
        <v>113</v>
      </c>
    </row>
    <row r="65" spans="3:13">
      <c r="C65" s="13" t="s">
        <v>126</v>
      </c>
      <c r="D65" s="13">
        <f>D62+D63</f>
        <v>13.4</v>
      </c>
      <c r="E65" s="13" t="s">
        <v>124</v>
      </c>
      <c r="F65" s="13"/>
      <c r="L65" t="s">
        <v>114</v>
      </c>
    </row>
    <row r="66" spans="3:13">
      <c r="C66" t="s">
        <v>129</v>
      </c>
      <c r="D66">
        <f>D62/227.172/1000</f>
        <v>3.3014632084940045E-5</v>
      </c>
      <c r="E66" t="s">
        <v>130</v>
      </c>
      <c r="L66">
        <f>4.25*32</f>
        <v>136</v>
      </c>
      <c r="M66" t="s">
        <v>116</v>
      </c>
    </row>
    <row r="67" spans="3:13">
      <c r="C67" t="s">
        <v>131</v>
      </c>
      <c r="D67">
        <f>D63/227.172/1000</f>
        <v>2.5971510573486172E-5</v>
      </c>
      <c r="E67" t="s">
        <v>130</v>
      </c>
      <c r="L67">
        <f>L66/M60</f>
        <v>1.2035398230088497</v>
      </c>
      <c r="M67" t="s">
        <v>117</v>
      </c>
    </row>
    <row r="68" spans="3:13">
      <c r="C68" t="s">
        <v>129</v>
      </c>
      <c r="D68">
        <f>D66*24.6</f>
        <v>8.1215994928952515E-4</v>
      </c>
      <c r="E68" t="s">
        <v>132</v>
      </c>
      <c r="L68" t="s">
        <v>118</v>
      </c>
    </row>
    <row r="69" spans="3:13">
      <c r="C69" t="s">
        <v>131</v>
      </c>
      <c r="D69">
        <f>D67*24.6</f>
        <v>6.388991601077599E-4</v>
      </c>
      <c r="E69" t="s">
        <v>132</v>
      </c>
    </row>
    <row r="70" spans="3:13">
      <c r="C70" t="s">
        <v>129</v>
      </c>
      <c r="D70">
        <f>D68*1.075/1.05</f>
        <v>8.3149709093927569E-4</v>
      </c>
      <c r="E70" t="s">
        <v>133</v>
      </c>
    </row>
    <row r="71" spans="3:13">
      <c r="C71" t="s">
        <v>131</v>
      </c>
      <c r="D71">
        <f>D69*1.075/1.05</f>
        <v>6.5411104487223025E-4</v>
      </c>
      <c r="E71" t="s">
        <v>133</v>
      </c>
    </row>
    <row r="75" spans="3:13">
      <c r="C75" s="12" t="s">
        <v>134</v>
      </c>
    </row>
    <row r="76" spans="3:13">
      <c r="D76">
        <v>0.33</v>
      </c>
      <c r="E76" t="s">
        <v>135</v>
      </c>
    </row>
    <row r="77" spans="3:13">
      <c r="D77">
        <v>0.73</v>
      </c>
      <c r="E77" t="s">
        <v>135</v>
      </c>
    </row>
    <row r="78" spans="3:13">
      <c r="D78">
        <f>D76/1000000</f>
        <v>3.3000000000000002E-7</v>
      </c>
      <c r="E78" t="s">
        <v>141</v>
      </c>
    </row>
    <row r="79" spans="3:13">
      <c r="D79">
        <f>D77/1000000</f>
        <v>7.3E-7</v>
      </c>
      <c r="E79" t="s">
        <v>141</v>
      </c>
    </row>
    <row r="80" spans="3:13">
      <c r="D80">
        <f>D78/12</f>
        <v>2.7500000000000001E-8</v>
      </c>
      <c r="E80" t="s">
        <v>136</v>
      </c>
    </row>
    <row r="81" spans="4:12">
      <c r="D81">
        <f>D79/12</f>
        <v>6.0833333333333329E-8</v>
      </c>
      <c r="E81" t="s">
        <v>136</v>
      </c>
    </row>
    <row r="82" spans="4:12">
      <c r="D82">
        <f>D80/0.0000005*0.1</f>
        <v>5.5000000000000014E-3</v>
      </c>
      <c r="E82" t="s">
        <v>137</v>
      </c>
    </row>
    <row r="83" spans="4:12">
      <c r="D83">
        <f>D81/0.0000005*0.1</f>
        <v>1.2166666666666666E-2</v>
      </c>
      <c r="E83" t="s">
        <v>138</v>
      </c>
    </row>
    <row r="84" spans="4:12">
      <c r="D84">
        <f>D82*24.6</f>
        <v>0.13530000000000003</v>
      </c>
      <c r="E84" t="s">
        <v>139</v>
      </c>
    </row>
    <row r="85" spans="4:12">
      <c r="D85">
        <f>D83*24.6</f>
        <v>0.29930000000000001</v>
      </c>
      <c r="E85" t="s">
        <v>139</v>
      </c>
    </row>
    <row r="86" spans="4:12">
      <c r="D86">
        <f>D84*1/1.05</f>
        <v>0.12885714285714289</v>
      </c>
      <c r="E86" t="s">
        <v>140</v>
      </c>
    </row>
    <row r="87" spans="4:12">
      <c r="D87">
        <f>D85*1/1.05</f>
        <v>0.28504761904761905</v>
      </c>
      <c r="E87" t="s">
        <v>140</v>
      </c>
    </row>
    <row r="89" spans="4:12">
      <c r="D89">
        <f>AVERAGE(D87,D86,D70,D125,D126)</f>
        <v>8.4242681454371637E-2</v>
      </c>
      <c r="E89" t="s">
        <v>165</v>
      </c>
      <c r="K89" s="16" t="s">
        <v>145</v>
      </c>
    </row>
    <row r="90" spans="4:12">
      <c r="D90" s="14">
        <v>6.905E-6</v>
      </c>
      <c r="E90" t="s">
        <v>142</v>
      </c>
      <c r="K90">
        <v>0.35</v>
      </c>
      <c r="L90" t="s">
        <v>146</v>
      </c>
    </row>
    <row r="91" spans="4:12">
      <c r="D91" s="14">
        <f>D89*D90</f>
        <v>5.8169571544243611E-7</v>
      </c>
      <c r="E91" t="s">
        <v>143</v>
      </c>
      <c r="K91">
        <f>K90/1000000/24.6</f>
        <v>1.4227642276422762E-8</v>
      </c>
      <c r="L91" t="s">
        <v>147</v>
      </c>
    </row>
    <row r="92" spans="4:12">
      <c r="D92" s="14">
        <f>D91</f>
        <v>5.8169571544243611E-7</v>
      </c>
      <c r="E92" t="s">
        <v>144</v>
      </c>
      <c r="K92">
        <f>K91*1.05</f>
        <v>1.4939024390243901E-8</v>
      </c>
      <c r="L92" t="s">
        <v>148</v>
      </c>
    </row>
    <row r="93" spans="4:12">
      <c r="K93">
        <f>0.00001</f>
        <v>1.0000000000000001E-5</v>
      </c>
      <c r="L93" t="s">
        <v>149</v>
      </c>
    </row>
    <row r="94" spans="4:12">
      <c r="K94">
        <f>K92/K93</f>
        <v>1.4939024390243901E-3</v>
      </c>
      <c r="L94" t="s">
        <v>150</v>
      </c>
    </row>
    <row r="96" spans="4:12">
      <c r="E96" t="s">
        <v>151</v>
      </c>
    </row>
    <row r="97" spans="4:14">
      <c r="D97">
        <v>0.33500000000000002</v>
      </c>
      <c r="E97" s="17" t="s">
        <v>168</v>
      </c>
    </row>
    <row r="98" spans="4:14">
      <c r="D98">
        <v>9.09</v>
      </c>
      <c r="E98" t="s">
        <v>152</v>
      </c>
      <c r="F98" t="s">
        <v>153</v>
      </c>
      <c r="L98" t="s">
        <v>177</v>
      </c>
    </row>
    <row r="99" spans="4:14">
      <c r="D99">
        <v>7.58</v>
      </c>
      <c r="E99" t="s">
        <v>152</v>
      </c>
      <c r="F99" t="s">
        <v>154</v>
      </c>
      <c r="L99">
        <f>AVERAGE(D127, D86:D87,D70)</f>
        <v>0.10371468607138892</v>
      </c>
      <c r="M99" t="s">
        <v>173</v>
      </c>
      <c r="N99" s="16" t="s">
        <v>171</v>
      </c>
    </row>
    <row r="100" spans="4:14">
      <c r="D100">
        <v>7.96</v>
      </c>
      <c r="E100" t="s">
        <v>152</v>
      </c>
      <c r="F100" t="s">
        <v>155</v>
      </c>
      <c r="N100" s="15" t="s">
        <v>172</v>
      </c>
    </row>
    <row r="101" spans="4:14">
      <c r="D101">
        <v>6.52</v>
      </c>
      <c r="E101" t="s">
        <v>152</v>
      </c>
      <c r="F101" t="s">
        <v>156</v>
      </c>
    </row>
    <row r="102" spans="4:14">
      <c r="D102">
        <v>4.71</v>
      </c>
      <c r="E102" s="17" t="s">
        <v>157</v>
      </c>
      <c r="F102" t="s">
        <v>154</v>
      </c>
      <c r="H102">
        <f>AVERAGE(D102:D105)</f>
        <v>4.3424999999999994</v>
      </c>
    </row>
    <row r="103" spans="4:14">
      <c r="D103">
        <v>4.3499999999999996</v>
      </c>
      <c r="E103" s="17" t="s">
        <v>157</v>
      </c>
      <c r="F103" t="s">
        <v>155</v>
      </c>
    </row>
    <row r="104" spans="4:14">
      <c r="D104">
        <v>4.18</v>
      </c>
      <c r="E104" s="17" t="s">
        <v>157</v>
      </c>
      <c r="F104" t="s">
        <v>156</v>
      </c>
    </row>
    <row r="105" spans="4:14">
      <c r="D105">
        <v>4.13</v>
      </c>
      <c r="E105" s="17" t="s">
        <v>157</v>
      </c>
      <c r="F105" t="s">
        <v>153</v>
      </c>
    </row>
    <row r="106" spans="4:14">
      <c r="D106">
        <v>4.3</v>
      </c>
      <c r="E106" s="17" t="s">
        <v>158</v>
      </c>
    </row>
    <row r="107" spans="4:14">
      <c r="D107">
        <v>0.5</v>
      </c>
      <c r="E107" s="17" t="s">
        <v>159</v>
      </c>
    </row>
    <row r="108" spans="4:14">
      <c r="D108">
        <v>14.9</v>
      </c>
      <c r="E108" s="17" t="s">
        <v>161</v>
      </c>
    </row>
    <row r="109" spans="4:14">
      <c r="D109">
        <v>1.9</v>
      </c>
      <c r="E109" s="17" t="s">
        <v>160</v>
      </c>
    </row>
    <row r="110" spans="4:14">
      <c r="D110">
        <v>12.4</v>
      </c>
      <c r="E110" s="17" t="s">
        <v>163</v>
      </c>
    </row>
    <row r="111" spans="4:14">
      <c r="D111">
        <v>1.2</v>
      </c>
      <c r="E111" s="17" t="s">
        <v>162</v>
      </c>
    </row>
    <row r="112" spans="4:14">
      <c r="D112">
        <v>0.01</v>
      </c>
      <c r="E112" s="17" t="s">
        <v>178</v>
      </c>
    </row>
    <row r="113" spans="4:5">
      <c r="D113">
        <v>8.1</v>
      </c>
      <c r="E113" s="17" t="s">
        <v>179</v>
      </c>
    </row>
    <row r="114" spans="4:5">
      <c r="D114" s="18">
        <v>0.15336312500000002</v>
      </c>
      <c r="E114" s="17" t="s">
        <v>188</v>
      </c>
    </row>
    <row r="115" spans="4:5">
      <c r="E115" s="17" t="s">
        <v>164</v>
      </c>
    </row>
    <row r="116" spans="4:5">
      <c r="D116">
        <f>D112/12/1000</f>
        <v>8.3333333333333344E-7</v>
      </c>
      <c r="E116" s="17" t="s">
        <v>180</v>
      </c>
    </row>
    <row r="117" spans="4:5">
      <c r="D117">
        <f>D113/12/1000</f>
        <v>6.7499999999999993E-4</v>
      </c>
      <c r="E117" s="17" t="s">
        <v>181</v>
      </c>
    </row>
    <row r="118" spans="4:5">
      <c r="D118">
        <f>D114/12/1000</f>
        <v>1.2780260416666668E-5</v>
      </c>
      <c r="E118" s="17" t="s">
        <v>169</v>
      </c>
    </row>
    <row r="119" spans="4:5">
      <c r="D119">
        <f>D116/H$102</f>
        <v>1.9190174630589144E-7</v>
      </c>
      <c r="E119" s="17" t="s">
        <v>182</v>
      </c>
    </row>
    <row r="120" spans="4:5">
      <c r="D120">
        <f>D117/H$102</f>
        <v>1.5544041450777204E-4</v>
      </c>
      <c r="E120" s="17" t="s">
        <v>183</v>
      </c>
    </row>
    <row r="121" spans="4:5">
      <c r="D121">
        <f>D118/H$102</f>
        <v>2.9430651506428716E-6</v>
      </c>
      <c r="E121" s="17" t="s">
        <v>170</v>
      </c>
    </row>
    <row r="122" spans="4:5">
      <c r="D122">
        <f>D119*1000/24.6</f>
        <v>7.8008839961744482E-6</v>
      </c>
      <c r="E122" s="17" t="s">
        <v>184</v>
      </c>
    </row>
    <row r="123" spans="4:5">
      <c r="D123">
        <f>D120*1000/24.6</f>
        <v>6.3187160369013026E-3</v>
      </c>
      <c r="E123" s="17" t="s">
        <v>185</v>
      </c>
    </row>
    <row r="124" spans="4:5">
      <c r="D124">
        <f>D121*1000/24.6</f>
        <v>1.1963679474158013E-4</v>
      </c>
      <c r="E124" s="17" t="s">
        <v>189</v>
      </c>
    </row>
    <row r="125" spans="4:5">
      <c r="D125">
        <f>D122*1.075/1.05</f>
        <v>7.9866193294166962E-6</v>
      </c>
      <c r="E125" s="17" t="s">
        <v>186</v>
      </c>
    </row>
    <row r="126" spans="4:5">
      <c r="D126">
        <f>D123*1.075/1.05</f>
        <v>6.4691616568275231E-3</v>
      </c>
      <c r="E126" s="17" t="s">
        <v>187</v>
      </c>
    </row>
    <row r="127" spans="4:5">
      <c r="D127">
        <f>D124*1.075/1.05</f>
        <v>1.224852898544749E-4</v>
      </c>
      <c r="E127" s="17" t="s">
        <v>190</v>
      </c>
    </row>
  </sheetData>
  <hyperlinks>
    <hyperlink ref="L16" r:id="rId1" display="https://www.chemspider.com/Chemical-Structure.32820151.html" xr:uid="{25C36313-9AA2-1245-B790-4702E26FCBD2}"/>
  </hyperlinks>
  <pageMargins left="0.7" right="0.7" top="0.78740157499999996" bottom="0.78740157499999996" header="0.3" footer="0.3"/>
  <pageSetup paperSize="9" orientation="portrait" horizontalDpi="0" verticalDpi="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calculating_COD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Schmidt Isabel Susanne</dc:creator>
  <cp:lastModifiedBy>Susanne Schmidt</cp:lastModifiedBy>
  <dcterms:created xsi:type="dcterms:W3CDTF">2025-01-31T16:38:44Z</dcterms:created>
  <dcterms:modified xsi:type="dcterms:W3CDTF">2025-07-12T12:39:24Z</dcterms:modified>
</cp:coreProperties>
</file>